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mat\Downloads\"/>
    </mc:Choice>
  </mc:AlternateContent>
  <xr:revisionPtr revIDLastSave="0" documentId="13_ncr:1_{674BAE94-2826-4B1C-8ADB-FC65BF0D3CEE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Takımlar" sheetId="1" r:id="rId1"/>
    <sheet name="Fikstür" sheetId="2" r:id="rId2"/>
    <sheet name="Puan Durumu" sheetId="3" r:id="rId3"/>
    <sheet name="1. Hafta" sheetId="4" r:id="rId4"/>
    <sheet name="2. Hafta" sheetId="5" r:id="rId5"/>
    <sheet name="3. Hafta" sheetId="6" r:id="rId6"/>
    <sheet name="4. Hafta" sheetId="7" r:id="rId7"/>
    <sheet name="5. Hafta" sheetId="8" r:id="rId8"/>
    <sheet name="İlk 8 Sıralama" sheetId="9" r:id="rId9"/>
    <sheet name="Eleme Turları" sheetId="10" r:id="rId10"/>
    <sheet name="Turnuva Kuralları" sheetId="11" r:id="rId11"/>
    <sheet name="Takım Rakipleri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4" l="1"/>
  <c r="G6" i="8"/>
  <c r="F6" i="8"/>
  <c r="G5" i="8"/>
  <c r="F5" i="8"/>
  <c r="G4" i="8"/>
  <c r="F4" i="8"/>
  <c r="G3" i="8"/>
  <c r="F3" i="8"/>
  <c r="G2" i="8"/>
  <c r="F2" i="8"/>
  <c r="G7" i="7"/>
  <c r="F7" i="7"/>
  <c r="G6" i="7"/>
  <c r="F6" i="7"/>
  <c r="G5" i="7"/>
  <c r="F5" i="7"/>
  <c r="G4" i="7"/>
  <c r="F4" i="7"/>
  <c r="G3" i="7"/>
  <c r="F3" i="7"/>
  <c r="G2" i="7"/>
  <c r="F2" i="7"/>
  <c r="G8" i="6"/>
  <c r="F8" i="6"/>
  <c r="G7" i="6"/>
  <c r="F7" i="6"/>
  <c r="G6" i="6"/>
  <c r="F6" i="6"/>
  <c r="G5" i="6"/>
  <c r="F5" i="6"/>
  <c r="G4" i="6"/>
  <c r="F4" i="6"/>
  <c r="G3" i="6"/>
  <c r="F3" i="6"/>
  <c r="G2" i="6"/>
  <c r="F2" i="6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G2" i="5"/>
  <c r="F2" i="5"/>
  <c r="G9" i="4"/>
  <c r="F9" i="4"/>
  <c r="G8" i="4"/>
  <c r="F8" i="4"/>
  <c r="G7" i="4"/>
  <c r="F7" i="4"/>
  <c r="G6" i="4"/>
  <c r="F6" i="4"/>
  <c r="F5" i="4"/>
  <c r="G4" i="4"/>
  <c r="F4" i="4"/>
  <c r="G3" i="4"/>
  <c r="F3" i="4"/>
  <c r="G2" i="4"/>
  <c r="F2" i="4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F39" i="2"/>
  <c r="E6" i="8" s="1"/>
  <c r="E39" i="2"/>
  <c r="D39" i="2"/>
  <c r="C39" i="2"/>
  <c r="B6" i="8" s="1"/>
  <c r="F38" i="2"/>
  <c r="E5" i="8" s="1"/>
  <c r="E38" i="2"/>
  <c r="D38" i="2"/>
  <c r="C38" i="2"/>
  <c r="B5" i="8" s="1"/>
  <c r="F37" i="2"/>
  <c r="E4" i="8" s="1"/>
  <c r="E37" i="2"/>
  <c r="D37" i="2"/>
  <c r="C37" i="2"/>
  <c r="B4" i="8" s="1"/>
  <c r="F36" i="2"/>
  <c r="E3" i="8" s="1"/>
  <c r="E36" i="2"/>
  <c r="D36" i="2"/>
  <c r="C36" i="2"/>
  <c r="B3" i="8" s="1"/>
  <c r="F35" i="2"/>
  <c r="E2" i="8" s="1"/>
  <c r="E35" i="2"/>
  <c r="D35" i="2"/>
  <c r="C35" i="2"/>
  <c r="B2" i="8" s="1"/>
  <c r="F33" i="2"/>
  <c r="E7" i="7" s="1"/>
  <c r="E33" i="2"/>
  <c r="D33" i="2"/>
  <c r="C33" i="2"/>
  <c r="B7" i="7" s="1"/>
  <c r="F32" i="2"/>
  <c r="E6" i="7" s="1"/>
  <c r="E32" i="2"/>
  <c r="D32" i="2"/>
  <c r="C32" i="2"/>
  <c r="B6" i="7" s="1"/>
  <c r="F31" i="2"/>
  <c r="E5" i="7" s="1"/>
  <c r="E31" i="2"/>
  <c r="D31" i="2"/>
  <c r="C31" i="2"/>
  <c r="B5" i="7" s="1"/>
  <c r="F30" i="2"/>
  <c r="E4" i="7" s="1"/>
  <c r="E30" i="2"/>
  <c r="D30" i="2"/>
  <c r="C30" i="2"/>
  <c r="B4" i="7" s="1"/>
  <c r="F29" i="2"/>
  <c r="E3" i="7" s="1"/>
  <c r="E29" i="2"/>
  <c r="D29" i="2"/>
  <c r="C29" i="2"/>
  <c r="B3" i="7" s="1"/>
  <c r="F28" i="2"/>
  <c r="E2" i="7" s="1"/>
  <c r="E28" i="2"/>
  <c r="D28" i="2"/>
  <c r="C28" i="2"/>
  <c r="B2" i="7" s="1"/>
  <c r="F26" i="2"/>
  <c r="E8" i="6" s="1"/>
  <c r="E26" i="2"/>
  <c r="D26" i="2"/>
  <c r="C26" i="2"/>
  <c r="B8" i="6" s="1"/>
  <c r="F25" i="2"/>
  <c r="E7" i="6" s="1"/>
  <c r="E25" i="2"/>
  <c r="D25" i="2"/>
  <c r="C25" i="2"/>
  <c r="B7" i="6" s="1"/>
  <c r="F24" i="2"/>
  <c r="E6" i="6" s="1"/>
  <c r="E24" i="2"/>
  <c r="D24" i="2"/>
  <c r="C24" i="2"/>
  <c r="B6" i="6" s="1"/>
  <c r="F23" i="2"/>
  <c r="E5" i="6" s="1"/>
  <c r="E23" i="2"/>
  <c r="D23" i="2"/>
  <c r="C23" i="2"/>
  <c r="B5" i="6" s="1"/>
  <c r="F22" i="2"/>
  <c r="E4" i="6" s="1"/>
  <c r="E22" i="2"/>
  <c r="D22" i="2"/>
  <c r="C22" i="2"/>
  <c r="B4" i="6" s="1"/>
  <c r="F21" i="2"/>
  <c r="E3" i="6" s="1"/>
  <c r="E21" i="2"/>
  <c r="D21" i="2"/>
  <c r="C21" i="2"/>
  <c r="B3" i="6" s="1"/>
  <c r="F20" i="2"/>
  <c r="E2" i="6" s="1"/>
  <c r="E20" i="2"/>
  <c r="D20" i="2"/>
  <c r="C20" i="2"/>
  <c r="B2" i="6" s="1"/>
  <c r="F18" i="2"/>
  <c r="E9" i="5" s="1"/>
  <c r="E18" i="2"/>
  <c r="D18" i="2"/>
  <c r="C18" i="2"/>
  <c r="B9" i="5" s="1"/>
  <c r="F17" i="2"/>
  <c r="E8" i="5" s="1"/>
  <c r="E17" i="2"/>
  <c r="D17" i="2"/>
  <c r="C17" i="2"/>
  <c r="B8" i="5" s="1"/>
  <c r="F16" i="2"/>
  <c r="E7" i="5" s="1"/>
  <c r="E16" i="2"/>
  <c r="D16" i="2"/>
  <c r="C16" i="2"/>
  <c r="B7" i="5" s="1"/>
  <c r="F15" i="2"/>
  <c r="E6" i="5" s="1"/>
  <c r="E15" i="2"/>
  <c r="D15" i="2"/>
  <c r="C15" i="2"/>
  <c r="B6" i="5" s="1"/>
  <c r="F14" i="2"/>
  <c r="E5" i="5" s="1"/>
  <c r="E14" i="2"/>
  <c r="D14" i="2"/>
  <c r="C14" i="2"/>
  <c r="B5" i="5" s="1"/>
  <c r="F13" i="2"/>
  <c r="E4" i="5" s="1"/>
  <c r="E13" i="2"/>
  <c r="D13" i="2"/>
  <c r="C13" i="2"/>
  <c r="B4" i="5" s="1"/>
  <c r="F12" i="2"/>
  <c r="E3" i="5" s="1"/>
  <c r="E12" i="2"/>
  <c r="D12" i="2"/>
  <c r="C12" i="2"/>
  <c r="B3" i="5" s="1"/>
  <c r="F11" i="2"/>
  <c r="E2" i="5" s="1"/>
  <c r="E11" i="2"/>
  <c r="D11" i="2"/>
  <c r="C11" i="2"/>
  <c r="B2" i="5" s="1"/>
  <c r="F9" i="2"/>
  <c r="E9" i="4" s="1"/>
  <c r="E9" i="2"/>
  <c r="D9" i="2"/>
  <c r="C9" i="2"/>
  <c r="B9" i="4" s="1"/>
  <c r="F8" i="2"/>
  <c r="E8" i="4" s="1"/>
  <c r="E8" i="2"/>
  <c r="D8" i="2"/>
  <c r="C8" i="2"/>
  <c r="B8" i="4" s="1"/>
  <c r="F7" i="2"/>
  <c r="E7" i="4" s="1"/>
  <c r="E7" i="2"/>
  <c r="D7" i="2"/>
  <c r="C7" i="2"/>
  <c r="B7" i="4" s="1"/>
  <c r="F6" i="2"/>
  <c r="E6" i="4" s="1"/>
  <c r="E6" i="2"/>
  <c r="D6" i="2"/>
  <c r="C6" i="2"/>
  <c r="B6" i="4" s="1"/>
  <c r="F5" i="2"/>
  <c r="E5" i="4" s="1"/>
  <c r="E5" i="2"/>
  <c r="D5" i="2"/>
  <c r="C5" i="2"/>
  <c r="B5" i="4" s="1"/>
  <c r="F4" i="2"/>
  <c r="E4" i="4" s="1"/>
  <c r="E4" i="2"/>
  <c r="D4" i="2"/>
  <c r="C4" i="2"/>
  <c r="B4" i="4" s="1"/>
  <c r="F3" i="2"/>
  <c r="E3" i="4" s="1"/>
  <c r="E3" i="2"/>
  <c r="D3" i="2"/>
  <c r="H13" i="3" s="1"/>
  <c r="C3" i="2"/>
  <c r="B3" i="4" s="1"/>
  <c r="F2" i="2"/>
  <c r="E2" i="4" s="1"/>
  <c r="E2" i="2"/>
  <c r="D2" i="2"/>
  <c r="C2" i="2"/>
  <c r="B2" i="4" s="1"/>
  <c r="H5" i="3" l="1"/>
  <c r="H10" i="3"/>
  <c r="H2" i="3"/>
  <c r="G13" i="3"/>
  <c r="I13" i="3" s="1"/>
  <c r="G10" i="3"/>
  <c r="I10" i="3" s="1"/>
  <c r="G18" i="3"/>
  <c r="G2" i="3"/>
  <c r="I2" i="3" s="1"/>
  <c r="G5" i="3"/>
  <c r="I5" i="3" s="1"/>
  <c r="H4" i="3"/>
  <c r="G6" i="3"/>
  <c r="G4" i="3"/>
  <c r="G15" i="3"/>
  <c r="H15" i="3"/>
  <c r="H6" i="3"/>
  <c r="G7" i="3"/>
  <c r="H7" i="3"/>
  <c r="G12" i="3"/>
  <c r="H17" i="3"/>
  <c r="H12" i="3"/>
  <c r="G16" i="3"/>
  <c r="G3" i="3"/>
  <c r="H16" i="3"/>
  <c r="H18" i="3"/>
  <c r="G17" i="3"/>
  <c r="G8" i="3"/>
  <c r="H14" i="3"/>
  <c r="H8" i="3"/>
  <c r="G14" i="3"/>
  <c r="H9" i="3"/>
  <c r="G11" i="3"/>
  <c r="H11" i="3"/>
  <c r="G9" i="3"/>
  <c r="C12" i="3"/>
  <c r="D15" i="3"/>
  <c r="E11" i="3"/>
  <c r="C8" i="3"/>
  <c r="D13" i="3"/>
  <c r="E12" i="3"/>
  <c r="D12" i="3"/>
  <c r="C6" i="3"/>
  <c r="C11" i="3"/>
  <c r="D5" i="3"/>
  <c r="E9" i="3"/>
  <c r="D9" i="3"/>
  <c r="C9" i="3"/>
  <c r="E8" i="3"/>
  <c r="E7" i="3"/>
  <c r="D7" i="3"/>
  <c r="J7" i="3" s="1"/>
  <c r="E6" i="3"/>
  <c r="C5" i="3"/>
  <c r="E4" i="3"/>
  <c r="C4" i="3"/>
  <c r="E3" i="3"/>
  <c r="E2" i="3"/>
  <c r="H3" i="3"/>
  <c r="C3" i="3"/>
  <c r="C2" i="3"/>
  <c r="E18" i="3"/>
  <c r="D18" i="3"/>
  <c r="J18" i="3" s="1"/>
  <c r="C18" i="3"/>
  <c r="E17" i="3"/>
  <c r="D16" i="3"/>
  <c r="E15" i="3"/>
  <c r="E13" i="3"/>
  <c r="E16" i="3"/>
  <c r="C16" i="3"/>
  <c r="D11" i="3"/>
  <c r="E10" i="3"/>
  <c r="D10" i="3"/>
  <c r="J10" i="3" s="1"/>
  <c r="C10" i="3"/>
  <c r="C15" i="3"/>
  <c r="E14" i="3"/>
  <c r="D8" i="3"/>
  <c r="D14" i="3"/>
  <c r="C7" i="3"/>
  <c r="C14" i="3"/>
  <c r="D6" i="3"/>
  <c r="E5" i="3"/>
  <c r="D17" i="3"/>
  <c r="D4" i="3"/>
  <c r="C17" i="3"/>
  <c r="D3" i="3"/>
  <c r="C13" i="3"/>
  <c r="D2" i="3"/>
  <c r="I15" i="3"/>
  <c r="I9" i="3" l="1"/>
  <c r="I6" i="3"/>
  <c r="I4" i="3"/>
  <c r="J9" i="3"/>
  <c r="K9" i="3" s="1"/>
  <c r="I18" i="3"/>
  <c r="K18" i="3" s="1"/>
  <c r="J12" i="3"/>
  <c r="J14" i="3"/>
  <c r="I12" i="3"/>
  <c r="I14" i="3"/>
  <c r="I3" i="3"/>
  <c r="J11" i="3"/>
  <c r="K10" i="3"/>
  <c r="I17" i="3"/>
  <c r="J17" i="3"/>
  <c r="J4" i="3"/>
  <c r="F18" i="3"/>
  <c r="J3" i="3"/>
  <c r="F13" i="3"/>
  <c r="J2" i="3"/>
  <c r="K2" i="3" s="1"/>
  <c r="I7" i="3"/>
  <c r="K7" i="3" s="1"/>
  <c r="I16" i="3"/>
  <c r="F12" i="3"/>
  <c r="F9" i="3"/>
  <c r="F5" i="3"/>
  <c r="J16" i="3"/>
  <c r="F15" i="3"/>
  <c r="J8" i="3"/>
  <c r="F17" i="3"/>
  <c r="F6" i="3"/>
  <c r="F10" i="3"/>
  <c r="J5" i="3"/>
  <c r="K5" i="3" s="1"/>
  <c r="F16" i="3"/>
  <c r="F3" i="3"/>
  <c r="F2" i="3"/>
  <c r="F7" i="3"/>
  <c r="F14" i="3"/>
  <c r="J6" i="3"/>
  <c r="I8" i="3"/>
  <c r="I11" i="3"/>
  <c r="J15" i="3"/>
  <c r="K15" i="3" s="1"/>
  <c r="F11" i="3"/>
  <c r="F4" i="3"/>
  <c r="F8" i="3"/>
  <c r="J13" i="3"/>
  <c r="K13" i="3" s="1"/>
  <c r="K6" i="3" l="1"/>
  <c r="K4" i="3"/>
  <c r="K12" i="3"/>
  <c r="K14" i="3"/>
  <c r="K17" i="3"/>
  <c r="B18" i="9"/>
  <c r="B16" i="9"/>
  <c r="B8" i="9"/>
  <c r="B4" i="9"/>
  <c r="K3" i="3"/>
  <c r="K11" i="3"/>
  <c r="K8" i="3"/>
  <c r="K16" i="3"/>
  <c r="A7" i="3" l="1"/>
  <c r="A14" i="3"/>
  <c r="A8" i="3"/>
  <c r="D18" i="9"/>
  <c r="C18" i="9"/>
  <c r="D16" i="9"/>
  <c r="C16" i="9"/>
  <c r="E4" i="10"/>
  <c r="C8" i="9"/>
  <c r="D8" i="9"/>
  <c r="B5" i="10"/>
  <c r="D4" i="9"/>
  <c r="C4" i="9"/>
  <c r="A18" i="3"/>
  <c r="B17" i="9"/>
  <c r="B15" i="9"/>
  <c r="B14" i="9"/>
  <c r="B13" i="9"/>
  <c r="B12" i="9"/>
  <c r="B11" i="9"/>
  <c r="B10" i="9"/>
  <c r="B9" i="9"/>
  <c r="B7" i="9"/>
  <c r="B5" i="9"/>
  <c r="B3" i="9"/>
  <c r="B2" i="9"/>
  <c r="B6" i="9"/>
  <c r="A13" i="3"/>
  <c r="A2" i="3"/>
  <c r="A12" i="3"/>
  <c r="A9" i="3"/>
  <c r="A6" i="3"/>
  <c r="A15" i="3"/>
  <c r="A10" i="3"/>
  <c r="A4" i="3"/>
  <c r="A17" i="3"/>
  <c r="A3" i="3"/>
  <c r="A16" i="3"/>
  <c r="A5" i="3"/>
  <c r="A11" i="3"/>
  <c r="C17" i="9" l="1"/>
  <c r="D17" i="9"/>
  <c r="C15" i="9"/>
  <c r="D15" i="9"/>
  <c r="C14" i="9"/>
  <c r="D14" i="9"/>
  <c r="C13" i="9"/>
  <c r="D13" i="9"/>
  <c r="C12" i="9"/>
  <c r="D12" i="9"/>
  <c r="D11" i="9"/>
  <c r="C11" i="9"/>
  <c r="C10" i="9"/>
  <c r="D10" i="9"/>
  <c r="C9" i="9"/>
  <c r="D9" i="9"/>
  <c r="E2" i="10"/>
  <c r="C7" i="9"/>
  <c r="D7" i="9"/>
  <c r="E5" i="10"/>
  <c r="G5" i="10" s="1"/>
  <c r="E9" i="10" s="1"/>
  <c r="D5" i="9"/>
  <c r="C5" i="9"/>
  <c r="B3" i="10"/>
  <c r="C3" i="9"/>
  <c r="B4" i="10"/>
  <c r="G4" i="10" s="1"/>
  <c r="B9" i="10" s="1"/>
  <c r="D3" i="9"/>
  <c r="C2" i="9"/>
  <c r="B2" i="10"/>
  <c r="D2" i="9"/>
  <c r="C6" i="9"/>
  <c r="D6" i="9"/>
  <c r="E3" i="10"/>
  <c r="G3" i="10" l="1"/>
  <c r="E8" i="10" s="1"/>
  <c r="G9" i="10"/>
  <c r="G2" i="10"/>
  <c r="B8" i="10" s="1"/>
  <c r="G8" i="10" l="1"/>
  <c r="E15" i="10"/>
  <c r="E12" i="10"/>
  <c r="B12" i="10" l="1"/>
  <c r="G12" i="10" s="1"/>
  <c r="B19" i="10" s="1"/>
  <c r="B15" i="10"/>
  <c r="G15" i="10" s="1"/>
  <c r="B18" i="10" s="1"/>
</calcChain>
</file>

<file path=xl/sharedStrings.xml><?xml version="1.0" encoding="utf-8"?>
<sst xmlns="http://schemas.openxmlformats.org/spreadsheetml/2006/main" count="287" uniqueCount="135">
  <si>
    <t>NO</t>
  </si>
  <si>
    <t>TAKIM ADI</t>
  </si>
  <si>
    <t>KİLİS</t>
  </si>
  <si>
    <t>REFORM</t>
  </si>
  <si>
    <t>ÇINAR</t>
  </si>
  <si>
    <t>ÖMRÜMÜZÜN  SON DEMİ</t>
  </si>
  <si>
    <t>MERCAN</t>
  </si>
  <si>
    <t>ANKA</t>
  </si>
  <si>
    <t xml:space="preserve">DEFTERDARLIK </t>
  </si>
  <si>
    <t>KARDEŞÇE</t>
  </si>
  <si>
    <t>ALLSTAR</t>
  </si>
  <si>
    <t>ETKİN</t>
  </si>
  <si>
    <t>FISTIKGÜCÜ</t>
  </si>
  <si>
    <t>DEFALP</t>
  </si>
  <si>
    <t>VDK</t>
  </si>
  <si>
    <t>GENÇLİK</t>
  </si>
  <si>
    <t>MÜŞAVİRLER</t>
  </si>
  <si>
    <t>SSK</t>
  </si>
  <si>
    <t>İŞKUR</t>
  </si>
  <si>
    <t>HAFTA</t>
  </si>
  <si>
    <t>MAÇ</t>
  </si>
  <si>
    <t>EV SAHİBİ</t>
  </si>
  <si>
    <t>EV 
GOL</t>
  </si>
  <si>
    <t>DEP 
GOL</t>
  </si>
  <si>
    <t>DEPLASMAN</t>
  </si>
  <si>
    <t>EV ID</t>
  </si>
  <si>
    <t>DEP ID</t>
  </si>
  <si>
    <t>SAHA</t>
  </si>
  <si>
    <t>SAAT</t>
  </si>
  <si>
    <t>18:00 - 19:00</t>
  </si>
  <si>
    <t>17:00 - 18:00</t>
  </si>
  <si>
    <t>19:00 - 20:00</t>
  </si>
  <si>
    <t>SIRA</t>
  </si>
  <si>
    <t>TAKIM</t>
  </si>
  <si>
    <t>O</t>
  </si>
  <si>
    <t>G</t>
  </si>
  <si>
    <t>B</t>
  </si>
  <si>
    <t>M</t>
  </si>
  <si>
    <t>AG</t>
  </si>
  <si>
    <t>YG</t>
  </si>
  <si>
    <t>AV</t>
  </si>
  <si>
    <t>PUAN</t>
  </si>
  <si>
    <t>EV GOL</t>
  </si>
  <si>
    <t>DEP GOL</t>
  </si>
  <si>
    <t>17.10.2026 
SAAT</t>
  </si>
  <si>
    <t>Skor girişlerini ana Fikstür sayfasında yapınız.</t>
  </si>
  <si>
    <t>24.10.2026 
SAAT</t>
  </si>
  <si>
    <t>31.10.2026 
SAAT</t>
  </si>
  <si>
    <t>07.11.2026 
SAAT</t>
  </si>
  <si>
    <t>14.11.2026 
SAAT</t>
  </si>
  <si>
    <t>DURUM</t>
  </si>
  <si>
    <t>TUR / MAÇ</t>
  </si>
  <si>
    <t>1. TAKIM</t>
  </si>
  <si>
    <t>GOL</t>
  </si>
  <si>
    <t>2. TAKIM</t>
  </si>
  <si>
    <t>BERABERLİKTE 
TUR ATLAYAN</t>
  </si>
  <si>
    <t>KAZANAN</t>
  </si>
  <si>
    <t>TARİH</t>
  </si>
  <si>
    <t>SAHA 
SAAT</t>
  </si>
  <si>
    <t>AÇIKLAMA</t>
  </si>
  <si>
    <t>ÇF 1 (1-8)</t>
  </si>
  <si>
    <t>1 / 17.00-18.00</t>
  </si>
  <si>
    <t>1. sıra - 8. sıra</t>
  </si>
  <si>
    <t>ÇF 2 (4-5)</t>
  </si>
  <si>
    <t>2 / 17.00-18.00</t>
  </si>
  <si>
    <t>4. sıra - 5. sıra</t>
  </si>
  <si>
    <t>ÇF 3 (2-7)</t>
  </si>
  <si>
    <t>1 / 18.00-19.00</t>
  </si>
  <si>
    <t>2. sıra - 7. sıra</t>
  </si>
  <si>
    <t>ÇF 4 (3-6)</t>
  </si>
  <si>
    <t>2 / 18.00-19.00</t>
  </si>
  <si>
    <t>3. sıra - 6. sıra</t>
  </si>
  <si>
    <t>YF 1</t>
  </si>
  <si>
    <t>ÇF1 kazananı - ÇF2 kazananı</t>
  </si>
  <si>
    <t>YF 2</t>
  </si>
  <si>
    <t>ÇF3 kazananı - ÇF4 kazananı</t>
  </si>
  <si>
    <t>3.LÜK MAÇI</t>
  </si>
  <si>
    <t>Yarı final kaybedenleri</t>
  </si>
  <si>
    <t>FİNAL</t>
  </si>
  <si>
    <t>Yarı final kazananları</t>
  </si>
  <si>
    <t>KUPA TÖRENİ</t>
  </si>
  <si>
    <t>ŞAMPİYON</t>
  </si>
  <si>
    <t>ÜÇÜNCÜ</t>
  </si>
  <si>
    <t>NOT: Beraberlikte F sütununa penaltı sonucu tur atlayan takımın adını aynen yazın.</t>
  </si>
  <si>
    <t>İlk 8 eşleşmesi, 34 lig maçı skorları girildikten sonra otomatik oluşur.</t>
  </si>
  <si>
    <t>GSMMMO SPOR KOMİTESİ</t>
  </si>
  <si>
    <t>17 TAKIMLI LİG – TURNUVA KURALLARI</t>
  </si>
  <si>
    <t>Takım sayısı</t>
  </si>
  <si>
    <t>Lig haftası</t>
  </si>
  <si>
    <t>Takım başına maç</t>
  </si>
  <si>
    <t>1. hafta maç</t>
  </si>
  <si>
    <t>2. hafta maç</t>
  </si>
  <si>
    <t>3. hafta maç</t>
  </si>
  <si>
    <t>4. hafta maç</t>
  </si>
  <si>
    <t>5. hafta maç</t>
  </si>
  <si>
    <t>Toplam lig maçı</t>
  </si>
  <si>
    <t>BAY / dinlenme</t>
  </si>
  <si>
    <t>Her takım 4 maç oynar; 5 haftalık süreçte 1 hafta maç yapmaz.</t>
  </si>
  <si>
    <t>Puan sistemi</t>
  </si>
  <si>
    <t>Galibiyet 3 / Beraberlik 1 / Mağlubiyet 0</t>
  </si>
  <si>
    <t>Lig sıralaması</t>
  </si>
  <si>
    <t>Önce puan; eşitlikte turnuva özel talimatındaki sıralama kriterleri</t>
  </si>
  <si>
    <t>Eleme sistemi</t>
  </si>
  <si>
    <t>Lig sonunda ilk 8 takım çeyrek finale yükselir.</t>
  </si>
  <si>
    <t>Çeyrek final</t>
  </si>
  <si>
    <t>4 maç: 1–8, 4–5, 2–7, 3–6</t>
  </si>
  <si>
    <t>Yarı final</t>
  </si>
  <si>
    <t>2 maç: Çeyrek final kazananları</t>
  </si>
  <si>
    <t>Üçüncülük</t>
  </si>
  <si>
    <t>1 maç: Yarı final kaybedenleri</t>
  </si>
  <si>
    <t>Final</t>
  </si>
  <si>
    <t>1 maç: Yarı final kazananları</t>
  </si>
  <si>
    <t>Toplam eleme maçı</t>
  </si>
  <si>
    <t>Turnuva toplam maçı</t>
  </si>
  <si>
    <t>Maç saatleri</t>
  </si>
  <si>
    <t>17:00–18:00 (en çok 3); 18:00–19:00 (en çok 3); gerekirse 19:00–20:00</t>
  </si>
  <si>
    <t>Saat kullanımı</t>
  </si>
  <si>
    <t>19:00–20:00 yalnızca haftalık maç sayısı 6’yı aşarsa kullanılır.</t>
  </si>
  <si>
    <t>Eleme maçında beraberlik</t>
  </si>
  <si>
    <t>Tur atlayan takım eleme sayfasında ayrıca belirlenir; yöntem turnuva talimatına göre uygulanır.</t>
  </si>
  <si>
    <t>Not</t>
  </si>
  <si>
    <t xml:space="preserve">Bu çalışma 17 takım için uyarlanmıştır; </t>
  </si>
  <si>
    <t>SIRALAMA 
ANAHTARI</t>
  </si>
  <si>
    <t>GSMMMO VE MUSSAN ORTAKLIĞINDA DÜZENLENEN HALI SAHA TURNUVASI</t>
  </si>
  <si>
    <t>1. RAKİP</t>
  </si>
  <si>
    <t>2. RAKİP</t>
  </si>
  <si>
    <t>3. RAKİP</t>
  </si>
  <si>
    <t>4. RAKİP</t>
  </si>
  <si>
    <t>DEFTERDARLIK</t>
  </si>
  <si>
    <t>SGK</t>
  </si>
  <si>
    <t>REFORM ANALİZ</t>
  </si>
  <si>
    <t>MÜŞAVİRLER F.C.</t>
  </si>
  <si>
    <t>ALL STAR 2026</t>
  </si>
  <si>
    <t>ETKİN SPOR</t>
  </si>
  <si>
    <t>DEFALP DİJİTAL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</si>
</sst>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color rgb="FF17344C"/>
      <name val="Carlito"/>
    </font>
  </fonts>
  <fills count="65">
    <fill>
      <patternFill patternType="none"/>
    </fill>
    <fill>
      <patternFill patternType="gray125"/>
    </fill>
    <fill>
      <patternFill patternType="solid">
        <fgColor rgb="FF16324F"/>
      </patternFill>
    </fill>
    <fill>
      <patternFill patternType="solid">
        <fgColor rgb="FFDDF4E7"/>
      </patternFill>
    </fill>
    <fill>
      <patternFill patternType="solid">
        <fgColor rgb="FFFFFF00"/>
      </patternFill>
    </fill>
    <fill>
      <patternFill patternType="solid">
        <fgColor rgb="FF16324F"/>
      </patternFill>
    </fill>
    <fill>
      <patternFill patternType="solid">
        <fgColor rgb="FFEAF2F8"/>
      </patternFill>
    </fill>
    <fill>
      <patternFill patternType="solid">
        <fgColor rgb="FFFFF0C2"/>
      </patternFill>
    </fill>
    <fill>
      <patternFill patternType="solid">
        <fgColor rgb="FFFCE4D6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E4DFEC"/>
      </patternFill>
    </fill>
    <fill>
      <patternFill patternType="solid">
        <fgColor rgb="FFDDEBF0"/>
      </patternFill>
    </fill>
    <fill>
      <patternFill patternType="solid">
        <fgColor rgb="FFF4CCCC"/>
      </patternFill>
    </fill>
    <fill>
      <patternFill patternType="solid">
        <fgColor rgb="FFD9EAD3"/>
      </patternFill>
    </fill>
    <fill>
      <patternFill patternType="solid">
        <fgColor rgb="FFFCE5CD"/>
      </patternFill>
    </fill>
    <fill>
      <patternFill patternType="solid">
        <fgColor rgb="FFD9D2E9"/>
      </patternFill>
    </fill>
    <fill>
      <patternFill patternType="solid">
        <fgColor rgb="FFCFE2F3"/>
      </patternFill>
    </fill>
    <fill>
      <patternFill patternType="solid">
        <fgColor rgb="FFEAD1DC"/>
      </patternFill>
    </fill>
    <fill>
      <patternFill patternType="solid">
        <fgColor rgb="FFD0E0E3"/>
      </patternFill>
    </fill>
    <fill>
      <patternFill patternType="solid">
        <fgColor rgb="FFF9CB9C"/>
      </patternFill>
    </fill>
    <fill>
      <patternFill patternType="solid">
        <fgColor rgb="FFB6D7A8"/>
      </patternFill>
    </fill>
    <fill>
      <patternFill patternType="solid">
        <fgColor rgb="FFC9DAF8"/>
      </patternFill>
    </fill>
    <fill>
      <patternFill patternType="solid">
        <fgColor rgb="FFFFE599"/>
      </patternFill>
    </fill>
    <fill>
      <patternFill patternType="solid">
        <fgColor rgb="FFFFF2B2"/>
      </patternFill>
    </fill>
    <fill>
      <patternFill patternType="solid">
        <fgColor rgb="FF172554"/>
      </patternFill>
    </fill>
    <fill>
      <patternFill patternType="solid">
        <fgColor rgb="FFFCE7F3"/>
      </patternFill>
    </fill>
    <fill>
      <patternFill patternType="solid">
        <fgColor rgb="FFFBCFE8"/>
      </patternFill>
    </fill>
    <fill>
      <patternFill patternType="solid">
        <fgColor rgb="FFFFEDD5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CCFBF1"/>
      </patternFill>
    </fill>
    <fill>
      <patternFill patternType="solid">
        <fgColor rgb="FFF5D0FE"/>
      </patternFill>
    </fill>
    <fill>
      <patternFill patternType="solid">
        <fgColor rgb="FFE0F2FE"/>
      </patternFill>
    </fill>
    <fill>
      <patternFill patternType="solid">
        <fgColor rgb="FFFEE2E2"/>
      </patternFill>
    </fill>
    <fill>
      <patternFill patternType="solid">
        <fgColor rgb="FFE2E8F0"/>
      </patternFill>
    </fill>
    <fill>
      <patternFill patternType="solid">
        <fgColor rgb="FFFECACA"/>
      </patternFill>
    </fill>
    <fill>
      <patternFill patternType="solid">
        <fgColor rgb="FFA7F3D0"/>
      </patternFill>
    </fill>
    <fill>
      <patternFill patternType="solid">
        <fgColor rgb="FFEDE9FE"/>
      </patternFill>
    </fill>
    <fill>
      <patternFill patternType="solid">
        <fgColor rgb="FFFDE68A"/>
      </patternFill>
    </fill>
    <fill>
      <patternFill patternType="solid">
        <fgColor rgb="FFC7D2FE"/>
      </patternFill>
    </fill>
    <fill>
      <patternFill patternType="solid">
        <fgColor rgb="FFD1FAE5"/>
      </patternFill>
    </fill>
    <fill>
      <patternFill patternType="solid">
        <fgColor rgb="FFDCFCE7"/>
      </patternFill>
    </fill>
    <fill>
      <patternFill patternType="solid">
        <fgColor rgb="FFCBD5E1"/>
      </patternFill>
    </fill>
    <fill>
      <patternFill patternType="solid">
        <fgColor rgb="FF102B43"/>
      </patternFill>
    </fill>
    <fill>
      <patternFill patternType="solid">
        <fgColor rgb="FFE8F0F8"/>
      </patternFill>
    </fill>
    <fill>
      <patternFill patternType="solid">
        <fgColor rgb="FF17324D"/>
      </patternFill>
    </fill>
    <fill>
      <patternFill patternType="solid">
        <fgColor rgb="FFFCE8E6"/>
      </patternFill>
    </fill>
    <fill>
      <patternFill patternType="solid">
        <fgColor rgb="FFE8F0FE"/>
      </patternFill>
    </fill>
    <fill>
      <patternFill patternType="solid">
        <fgColor rgb="FFE6F4EA"/>
      </patternFill>
    </fill>
    <fill>
      <patternFill patternType="solid">
        <fgColor rgb="FFFFF4CE"/>
      </patternFill>
    </fill>
    <fill>
      <patternFill patternType="solid">
        <fgColor rgb="FFF3E8FD"/>
      </patternFill>
    </fill>
    <fill>
      <patternFill patternType="solid">
        <fgColor rgb="FFDFF7F6"/>
      </patternFill>
    </fill>
    <fill>
      <patternFill patternType="solid">
        <fgColor rgb="FFFFE5D1"/>
      </patternFill>
    </fill>
    <fill>
      <patternFill patternType="solid">
        <fgColor rgb="FFFBE4F0"/>
      </patternFill>
    </fill>
    <fill>
      <patternFill patternType="solid">
        <fgColor rgb="FFE4EBF5"/>
      </patternFill>
    </fill>
    <fill>
      <patternFill patternType="solid">
        <fgColor rgb="FFD9F1E5"/>
      </patternFill>
    </fill>
    <fill>
      <patternFill patternType="solid">
        <fgColor rgb="FFF6E9D9"/>
      </patternFill>
    </fill>
    <fill>
      <patternFill patternType="solid">
        <fgColor rgb="FFE3F4FC"/>
      </patternFill>
    </fill>
    <fill>
      <patternFill patternType="solid">
        <fgColor rgb="FFF4E6E6"/>
      </patternFill>
    </fill>
    <fill>
      <patternFill patternType="solid">
        <fgColor rgb="FFE8F5DB"/>
      </patternFill>
    </fill>
    <fill>
      <patternFill patternType="solid">
        <fgColor rgb="FFEEE6F9"/>
      </patternFill>
    </fill>
    <fill>
      <patternFill patternType="solid">
        <fgColor rgb="FFF9EDC9"/>
      </patternFill>
    </fill>
    <fill>
      <patternFill patternType="solid">
        <fgColor rgb="FFE5E9E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9" borderId="1" xfId="0" applyFill="1" applyBorder="1"/>
    <xf numFmtId="0" fontId="0" fillId="22" borderId="1" xfId="0" applyFill="1" applyBorder="1"/>
    <xf numFmtId="0" fontId="0" fillId="6" borderId="1" xfId="0" applyFill="1" applyBorder="1" applyAlignment="1">
      <alignment horizontal="center"/>
    </xf>
    <xf numFmtId="0" fontId="0" fillId="19" borderId="1" xfId="0" applyFill="1" applyBorder="1"/>
    <xf numFmtId="0" fontId="0" fillId="11" borderId="1" xfId="0" applyFill="1" applyBorder="1"/>
    <xf numFmtId="0" fontId="0" fillId="8" borderId="1" xfId="0" applyFill="1" applyBorder="1"/>
    <xf numFmtId="0" fontId="0" fillId="13" borderId="1" xfId="0" applyFill="1" applyBorder="1"/>
    <xf numFmtId="0" fontId="0" fillId="17" borderId="1" xfId="0" applyFill="1" applyBorder="1"/>
    <xf numFmtId="0" fontId="0" fillId="15" borderId="1" xfId="0" applyFill="1" applyBorder="1"/>
    <xf numFmtId="0" fontId="0" fillId="14" borderId="1" xfId="0" applyFill="1" applyBorder="1"/>
    <xf numFmtId="0" fontId="0" fillId="20" borderId="1" xfId="0" applyFill="1" applyBorder="1"/>
    <xf numFmtId="0" fontId="0" fillId="24" borderId="1" xfId="0" applyFill="1" applyBorder="1"/>
    <xf numFmtId="0" fontId="0" fillId="23" borderId="1" xfId="0" applyFill="1" applyBorder="1"/>
    <xf numFmtId="0" fontId="0" fillId="12" borderId="1" xfId="0" applyFill="1" applyBorder="1"/>
    <xf numFmtId="0" fontId="0" fillId="16" borderId="1" xfId="0" applyFill="1" applyBorder="1"/>
    <xf numFmtId="0" fontId="0" fillId="7" borderId="1" xfId="0" applyFill="1" applyBorder="1" applyAlignment="1">
      <alignment horizontal="center"/>
    </xf>
    <xf numFmtId="0" fontId="0" fillId="21" borderId="1" xfId="0" applyFill="1" applyBorder="1"/>
    <xf numFmtId="0" fontId="0" fillId="18" borderId="1" xfId="0" applyFill="1" applyBorder="1"/>
    <xf numFmtId="0" fontId="0" fillId="10" borderId="1" xfId="0" applyFill="1" applyBorder="1"/>
    <xf numFmtId="0" fontId="0" fillId="25" borderId="1" xfId="0" applyFill="1" applyBorder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6" borderId="0" xfId="0" applyFont="1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1" fillId="45" borderId="0" xfId="0" applyFont="1" applyFill="1"/>
    <xf numFmtId="0" fontId="2" fillId="46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6" borderId="0" xfId="0" applyFont="1" applyFill="1" applyAlignment="1">
      <alignment horizontal="center" vertical="center"/>
    </xf>
    <xf numFmtId="0" fontId="1" fillId="26" borderId="0" xfId="0" applyFont="1" applyFill="1" applyAlignment="1">
      <alignment horizontal="center" vertical="center" wrapText="1"/>
    </xf>
    <xf numFmtId="14" fontId="1" fillId="26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44" borderId="0" xfId="0" applyNumberFormat="1" applyFill="1" applyAlignment="1">
      <alignment horizontal="center"/>
    </xf>
    <xf numFmtId="0" fontId="0" fillId="0" borderId="0" xfId="0" applyAlignment="1">
      <alignment horizontal="left" vertical="center"/>
    </xf>
    <xf numFmtId="0" fontId="1" fillId="47" borderId="0" xfId="0" applyFont="1" applyFill="1" applyAlignment="1">
      <alignment horizontal="center" vertical="center"/>
    </xf>
    <xf numFmtId="0" fontId="0" fillId="48" borderId="1" xfId="0" applyFill="1" applyBorder="1" applyAlignment="1">
      <alignment horizontal="center"/>
    </xf>
    <xf numFmtId="0" fontId="0" fillId="48" borderId="1" xfId="0" applyFill="1" applyBorder="1"/>
    <xf numFmtId="0" fontId="0" fillId="49" borderId="1" xfId="0" applyFill="1" applyBorder="1" applyAlignment="1">
      <alignment horizontal="center"/>
    </xf>
    <xf numFmtId="0" fontId="0" fillId="49" borderId="1" xfId="0" applyFill="1" applyBorder="1"/>
    <xf numFmtId="0" fontId="0" fillId="50" borderId="1" xfId="0" applyFill="1" applyBorder="1" applyAlignment="1">
      <alignment horizontal="center"/>
    </xf>
    <xf numFmtId="0" fontId="0" fillId="50" borderId="1" xfId="0" applyFill="1" applyBorder="1"/>
    <xf numFmtId="0" fontId="0" fillId="51" borderId="1" xfId="0" applyFill="1" applyBorder="1" applyAlignment="1">
      <alignment horizontal="center"/>
    </xf>
    <xf numFmtId="0" fontId="0" fillId="51" borderId="1" xfId="0" applyFill="1" applyBorder="1"/>
    <xf numFmtId="0" fontId="0" fillId="52" borderId="1" xfId="0" applyFill="1" applyBorder="1" applyAlignment="1">
      <alignment horizontal="center"/>
    </xf>
    <xf numFmtId="0" fontId="0" fillId="52" borderId="1" xfId="0" applyFill="1" applyBorder="1"/>
    <xf numFmtId="0" fontId="0" fillId="53" borderId="1" xfId="0" applyFill="1" applyBorder="1" applyAlignment="1">
      <alignment horizontal="center"/>
    </xf>
    <xf numFmtId="0" fontId="0" fillId="53" borderId="1" xfId="0" applyFill="1" applyBorder="1"/>
    <xf numFmtId="0" fontId="0" fillId="54" borderId="1" xfId="0" applyFill="1" applyBorder="1" applyAlignment="1">
      <alignment horizontal="center"/>
    </xf>
    <xf numFmtId="0" fontId="0" fillId="54" borderId="1" xfId="0" applyFill="1" applyBorder="1"/>
    <xf numFmtId="0" fontId="0" fillId="55" borderId="1" xfId="0" applyFill="1" applyBorder="1" applyAlignment="1">
      <alignment horizontal="center"/>
    </xf>
    <xf numFmtId="0" fontId="0" fillId="55" borderId="1" xfId="0" applyFill="1" applyBorder="1"/>
    <xf numFmtId="0" fontId="0" fillId="56" borderId="1" xfId="0" applyFill="1" applyBorder="1" applyAlignment="1">
      <alignment horizontal="center"/>
    </xf>
    <xf numFmtId="0" fontId="0" fillId="56" borderId="1" xfId="0" applyFill="1" applyBorder="1"/>
    <xf numFmtId="0" fontId="0" fillId="57" borderId="1" xfId="0" applyFill="1" applyBorder="1" applyAlignment="1">
      <alignment horizontal="center"/>
    </xf>
    <xf numFmtId="0" fontId="0" fillId="57" borderId="1" xfId="0" applyFill="1" applyBorder="1"/>
    <xf numFmtId="0" fontId="0" fillId="58" borderId="1" xfId="0" applyFill="1" applyBorder="1" applyAlignment="1">
      <alignment horizontal="center"/>
    </xf>
    <xf numFmtId="0" fontId="0" fillId="58" borderId="1" xfId="0" applyFill="1" applyBorder="1"/>
    <xf numFmtId="0" fontId="0" fillId="59" borderId="1" xfId="0" applyFill="1" applyBorder="1" applyAlignment="1">
      <alignment horizontal="center"/>
    </xf>
    <xf numFmtId="0" fontId="0" fillId="59" borderId="1" xfId="0" applyFill="1" applyBorder="1"/>
    <xf numFmtId="0" fontId="0" fillId="60" borderId="1" xfId="0" applyFill="1" applyBorder="1" applyAlignment="1">
      <alignment horizontal="center"/>
    </xf>
    <xf numFmtId="0" fontId="0" fillId="60" borderId="1" xfId="0" applyFill="1" applyBorder="1"/>
    <xf numFmtId="0" fontId="0" fillId="61" borderId="1" xfId="0" applyFill="1" applyBorder="1" applyAlignment="1">
      <alignment horizontal="center"/>
    </xf>
    <xf numFmtId="0" fontId="0" fillId="61" borderId="1" xfId="0" applyFill="1" applyBorder="1"/>
    <xf numFmtId="0" fontId="0" fillId="62" borderId="1" xfId="0" applyFill="1" applyBorder="1" applyAlignment="1">
      <alignment horizontal="center"/>
    </xf>
    <xf numFmtId="0" fontId="0" fillId="62" borderId="1" xfId="0" applyFill="1" applyBorder="1"/>
    <xf numFmtId="0" fontId="0" fillId="63" borderId="1" xfId="0" applyFill="1" applyBorder="1" applyAlignment="1">
      <alignment horizontal="center"/>
    </xf>
    <xf numFmtId="0" fontId="0" fillId="63" borderId="1" xfId="0" applyFill="1" applyBorder="1"/>
    <xf numFmtId="0" fontId="0" fillId="64" borderId="1" xfId="0" applyFill="1" applyBorder="1" applyAlignment="1">
      <alignment horizontal="center"/>
    </xf>
    <xf numFmtId="0" fontId="0" fillId="64" borderId="1" xfId="0" applyFill="1" applyBorder="1"/>
    <xf numFmtId="0" fontId="1" fillId="47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pane ySplit="1" topLeftCell="A2" activePane="bottomLeft" state="frozen"/>
      <selection pane="bottomLeft" activeCell="C21" sqref="C21"/>
    </sheetView>
  </sheetViews>
  <sheetFormatPr defaultRowHeight="13.8"/>
  <cols>
    <col min="2" max="2" width="28" customWidth="1"/>
  </cols>
  <sheetData>
    <row r="1" spans="1:2" ht="30" customHeight="1">
      <c r="A1" s="1" t="s">
        <v>0</v>
      </c>
      <c r="B1" s="1" t="s">
        <v>1</v>
      </c>
    </row>
    <row r="2" spans="1:2">
      <c r="A2">
        <v>1</v>
      </c>
      <c r="B2" s="4" t="s">
        <v>2</v>
      </c>
    </row>
    <row r="3" spans="1:2">
      <c r="A3">
        <v>2</v>
      </c>
      <c r="B3" s="5" t="s">
        <v>130</v>
      </c>
    </row>
    <row r="4" spans="1:2">
      <c r="A4">
        <v>3</v>
      </c>
      <c r="B4" s="6" t="s">
        <v>4</v>
      </c>
    </row>
    <row r="5" spans="1:2">
      <c r="A5">
        <v>4</v>
      </c>
      <c r="B5" s="7" t="s">
        <v>5</v>
      </c>
    </row>
    <row r="6" spans="1:2">
      <c r="A6">
        <v>5</v>
      </c>
      <c r="B6" s="8" t="s">
        <v>6</v>
      </c>
    </row>
    <row r="7" spans="1:2">
      <c r="A7">
        <v>6</v>
      </c>
      <c r="B7" s="9" t="s">
        <v>7</v>
      </c>
    </row>
    <row r="8" spans="1:2">
      <c r="A8">
        <v>7</v>
      </c>
      <c r="B8" s="10" t="s">
        <v>8</v>
      </c>
    </row>
    <row r="9" spans="1:2">
      <c r="A9">
        <v>8</v>
      </c>
      <c r="B9" s="11" t="s">
        <v>9</v>
      </c>
    </row>
    <row r="10" spans="1:2">
      <c r="A10">
        <v>9</v>
      </c>
      <c r="B10" s="12" t="s">
        <v>132</v>
      </c>
    </row>
    <row r="11" spans="1:2">
      <c r="A11">
        <v>10</v>
      </c>
      <c r="B11" s="13" t="s">
        <v>133</v>
      </c>
    </row>
    <row r="12" spans="1:2">
      <c r="A12">
        <v>11</v>
      </c>
      <c r="B12" s="14" t="s">
        <v>12</v>
      </c>
    </row>
    <row r="13" spans="1:2">
      <c r="A13">
        <v>12</v>
      </c>
      <c r="B13" s="15" t="s">
        <v>134</v>
      </c>
    </row>
    <row r="14" spans="1:2">
      <c r="A14">
        <v>13</v>
      </c>
      <c r="B14" s="16" t="s">
        <v>14</v>
      </c>
    </row>
    <row r="15" spans="1:2">
      <c r="A15">
        <v>14</v>
      </c>
      <c r="B15" s="17" t="s">
        <v>15</v>
      </c>
    </row>
    <row r="16" spans="1:2">
      <c r="A16">
        <v>15</v>
      </c>
      <c r="B16" s="18" t="s">
        <v>131</v>
      </c>
    </row>
    <row r="17" spans="1:2">
      <c r="A17">
        <v>16</v>
      </c>
      <c r="B17" s="19" t="s">
        <v>129</v>
      </c>
    </row>
    <row r="18" spans="1:2">
      <c r="A18">
        <v>17</v>
      </c>
      <c r="B18" s="20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B39"/>
  <sheetViews>
    <sheetView workbookViewId="0">
      <pane ySplit="1" topLeftCell="A2" activePane="bottomLeft" state="frozen"/>
      <selection pane="bottomLeft" activeCell="O22" sqref="O22"/>
    </sheetView>
  </sheetViews>
  <sheetFormatPr defaultRowHeight="13.8"/>
  <cols>
    <col min="1" max="1" width="8.796875" style="21"/>
    <col min="2" max="2" width="7" style="21" customWidth="1"/>
    <col min="3" max="3" width="23" customWidth="1"/>
    <col min="4" max="5" width="6.796875" style="21" customWidth="1"/>
    <col min="6" max="6" width="23" customWidth="1"/>
    <col min="7" max="8" width="10" style="21" hidden="1" customWidth="1"/>
    <col min="9" max="9" width="10" style="21" customWidth="1"/>
    <col min="10" max="10" width="19" customWidth="1"/>
  </cols>
  <sheetData>
    <row r="1" spans="1:1224" s="23" customFormat="1" ht="32.4" customHeight="1">
      <c r="A1" s="22" t="s">
        <v>19</v>
      </c>
      <c r="B1" s="22" t="s">
        <v>20</v>
      </c>
      <c r="C1" s="22" t="s">
        <v>21</v>
      </c>
      <c r="D1" s="46" t="s">
        <v>22</v>
      </c>
      <c r="E1" s="46" t="s">
        <v>23</v>
      </c>
      <c r="F1" s="22" t="s">
        <v>24</v>
      </c>
      <c r="G1" s="22" t="s">
        <v>25</v>
      </c>
      <c r="H1" s="22" t="s">
        <v>26</v>
      </c>
      <c r="I1" s="22" t="s">
        <v>27</v>
      </c>
      <c r="J1" s="45" t="s">
        <v>28</v>
      </c>
    </row>
    <row r="2" spans="1:1224">
      <c r="A2" s="24">
        <v>1</v>
      </c>
      <c r="B2" s="24">
        <v>1</v>
      </c>
      <c r="C2" s="25" t="str">
        <f>INDEX(Takımlar!$B$2:$B$18,G2)</f>
        <v>REFORM ANALİZ</v>
      </c>
      <c r="D2" s="44" t="str">
        <f>IF(ISNUMBER('1. Hafta'!C2),'1. Hafta'!C2,"")</f>
        <v/>
      </c>
      <c r="E2" s="44" t="str">
        <f>IF(ISNUMBER('1. Hafta'!D2),'1. Hafta'!D2,"")</f>
        <v/>
      </c>
      <c r="F2" s="26" t="str">
        <f>INDEX(Takımlar!$B$2:$B$18,H2)</f>
        <v>MÜŞAVİRLER F.C.</v>
      </c>
      <c r="G2" s="24">
        <v>2</v>
      </c>
      <c r="H2" s="24">
        <v>15</v>
      </c>
      <c r="I2" s="24">
        <v>2</v>
      </c>
      <c r="J2" s="27" t="s">
        <v>29</v>
      </c>
    </row>
    <row r="3" spans="1:1224">
      <c r="A3" s="24">
        <v>1</v>
      </c>
      <c r="B3" s="24">
        <v>2</v>
      </c>
      <c r="C3" s="28" t="str">
        <f>INDEX(Takımlar!$B$2:$B$18,G3)</f>
        <v>DEFALP DİJİTAL</v>
      </c>
      <c r="D3" s="44" t="str">
        <f>IF(ISNUMBER('1. Hafta'!C3),'1. Hafta'!C3,"")</f>
        <v/>
      </c>
      <c r="E3" s="44" t="str">
        <f>IF(ISNUMBER('1. Hafta'!D3),'1. Hafta'!D3,"")</f>
        <v/>
      </c>
      <c r="F3" s="29" t="str">
        <f>INDEX(Takımlar!$B$2:$B$18,H3)</f>
        <v>ÖMRÜMÜZÜN  SON DEMİ</v>
      </c>
      <c r="G3" s="24">
        <v>12</v>
      </c>
      <c r="H3" s="24">
        <v>4</v>
      </c>
      <c r="I3" s="24">
        <v>3</v>
      </c>
      <c r="J3" s="27" t="s">
        <v>29</v>
      </c>
    </row>
    <row r="4" spans="1:1224">
      <c r="A4" s="24">
        <v>1</v>
      </c>
      <c r="B4" s="24">
        <v>3</v>
      </c>
      <c r="C4" s="30" t="str">
        <f>INDEX(Takımlar!$B$2:$B$18,G4)</f>
        <v>KİLİS</v>
      </c>
      <c r="D4" s="44" t="str">
        <f>IF(ISNUMBER('1. Hafta'!C4),'1. Hafta'!C4,"")</f>
        <v/>
      </c>
      <c r="E4" s="44" t="str">
        <f>IF(ISNUMBER('1. Hafta'!D4),'1. Hafta'!D4,"")</f>
        <v/>
      </c>
      <c r="F4" s="31" t="str">
        <f>INDEX(Takımlar!$B$2:$B$18,H4)</f>
        <v>ANKA</v>
      </c>
      <c r="G4" s="24">
        <v>1</v>
      </c>
      <c r="H4" s="24">
        <v>6</v>
      </c>
      <c r="I4" s="24">
        <v>3</v>
      </c>
      <c r="J4" s="27" t="s">
        <v>30</v>
      </c>
    </row>
    <row r="5" spans="1:1224">
      <c r="A5" s="24">
        <v>1</v>
      </c>
      <c r="B5" s="24">
        <v>4</v>
      </c>
      <c r="C5" s="32" t="str">
        <f>INDEX(Takımlar!$B$2:$B$18,G5)</f>
        <v>ETKİN SPOR</v>
      </c>
      <c r="D5" s="44" t="str">
        <f>IF(ISNUMBER('1. Hafta'!C5),'1. Hafta'!C5,"")</f>
        <v/>
      </c>
      <c r="E5" s="44" t="str">
        <f>IF(ISNUMBER('1. Hafta'!D5),'1. Hafta'!D5,"")</f>
        <v/>
      </c>
      <c r="F5" s="33" t="str">
        <f>INDEX(Takımlar!$B$2:$B$18,H5)</f>
        <v>KARDEŞÇE</v>
      </c>
      <c r="G5" s="24">
        <v>10</v>
      </c>
      <c r="H5" s="24">
        <v>8</v>
      </c>
      <c r="I5" s="24">
        <v>1</v>
      </c>
      <c r="J5" s="27" t="s">
        <v>29</v>
      </c>
    </row>
    <row r="6" spans="1:1224">
      <c r="A6" s="24">
        <v>1</v>
      </c>
      <c r="B6" s="24">
        <v>5</v>
      </c>
      <c r="C6" s="34" t="str">
        <f>INDEX(Takımlar!$B$2:$B$18,G6)</f>
        <v xml:space="preserve">DEFTERDARLIK </v>
      </c>
      <c r="D6" s="44" t="str">
        <f>IF(ISNUMBER('1. Hafta'!C6),'1. Hafta'!C6,"")</f>
        <v/>
      </c>
      <c r="E6" s="44" t="str">
        <f>IF(ISNUMBER('1. Hafta'!D6),'1. Hafta'!D6,"")</f>
        <v/>
      </c>
      <c r="F6" s="35" t="str">
        <f>INDEX(Takımlar!$B$2:$B$18,H6)</f>
        <v>VDK</v>
      </c>
      <c r="G6" s="24">
        <v>7</v>
      </c>
      <c r="H6" s="24">
        <v>13</v>
      </c>
      <c r="I6" s="24">
        <v>1</v>
      </c>
      <c r="J6" s="27" t="s">
        <v>30</v>
      </c>
    </row>
    <row r="7" spans="1:1224">
      <c r="A7" s="24">
        <v>1</v>
      </c>
      <c r="B7" s="24">
        <v>6</v>
      </c>
      <c r="C7" s="36" t="str">
        <f>INDEX(Takımlar!$B$2:$B$18,G7)</f>
        <v>İŞKUR</v>
      </c>
      <c r="D7" s="44" t="str">
        <f>IF(ISNUMBER('1. Hafta'!C7),'1. Hafta'!C7,"")</f>
        <v/>
      </c>
      <c r="E7" s="44" t="str">
        <f>IF(ISNUMBER('1. Hafta'!D7),'1. Hafta'!D7,"")</f>
        <v/>
      </c>
      <c r="F7" s="37" t="str">
        <f>INDEX(Takımlar!$B$2:$B$18,H7)</f>
        <v>SGK</v>
      </c>
      <c r="G7" s="24">
        <v>17</v>
      </c>
      <c r="H7" s="24">
        <v>16</v>
      </c>
      <c r="I7" s="24">
        <v>2</v>
      </c>
      <c r="J7" s="27" t="s">
        <v>30</v>
      </c>
    </row>
    <row r="8" spans="1:1224">
      <c r="A8" s="24">
        <v>1</v>
      </c>
      <c r="B8" s="24">
        <v>7</v>
      </c>
      <c r="C8" s="38" t="str">
        <f>INDEX(Takımlar!$B$2:$B$18,G8)</f>
        <v>MERCAN</v>
      </c>
      <c r="D8" s="44" t="str">
        <f>IF(ISNUMBER('1. Hafta'!C8),'1. Hafta'!C8,"")</f>
        <v/>
      </c>
      <c r="E8" s="44" t="str">
        <f>IF(ISNUMBER('1. Hafta'!D8),'1. Hafta'!D8,"")</f>
        <v/>
      </c>
      <c r="F8" s="39" t="str">
        <f>INDEX(Takımlar!$B$2:$B$18,H8)</f>
        <v>ALL STAR 2026</v>
      </c>
      <c r="G8" s="24">
        <v>5</v>
      </c>
      <c r="H8" s="24">
        <v>9</v>
      </c>
      <c r="I8" s="24">
        <v>1</v>
      </c>
      <c r="J8" s="40" t="s">
        <v>31</v>
      </c>
    </row>
    <row r="9" spans="1:1224">
      <c r="A9" s="24">
        <v>1</v>
      </c>
      <c r="B9" s="24">
        <v>8</v>
      </c>
      <c r="C9" s="41" t="str">
        <f>INDEX(Takımlar!$B$2:$B$18,G9)</f>
        <v>GENÇLİK</v>
      </c>
      <c r="D9" s="44" t="str">
        <f>IF(ISNUMBER('1. Hafta'!C9),'1. Hafta'!C9,"")</f>
        <v/>
      </c>
      <c r="E9" s="44" t="str">
        <f>IF(ISNUMBER('1. Hafta'!D9),'1. Hafta'!D9,"")</f>
        <v/>
      </c>
      <c r="F9" s="42" t="str">
        <f>INDEX(Takımlar!$B$2:$B$18,H9)</f>
        <v>FISTIKGÜCÜ</v>
      </c>
      <c r="G9" s="24">
        <v>14</v>
      </c>
      <c r="H9" s="24">
        <v>11</v>
      </c>
      <c r="I9" s="24">
        <v>2</v>
      </c>
      <c r="J9" s="40" t="s">
        <v>31</v>
      </c>
    </row>
    <row r="10" spans="1:1224" s="114" customFormat="1">
      <c r="A10" s="112"/>
      <c r="B10" s="112"/>
      <c r="C10" s="113"/>
      <c r="D10" s="112"/>
      <c r="E10" s="112"/>
      <c r="F10" s="113"/>
      <c r="G10" s="112"/>
      <c r="H10" s="112"/>
      <c r="I10" s="112"/>
      <c r="J10" s="112"/>
    </row>
    <row r="11" spans="1:1224" s="3" customFormat="1">
      <c r="A11" s="24">
        <v>2</v>
      </c>
      <c r="B11" s="24">
        <v>1</v>
      </c>
      <c r="C11" s="26" t="str">
        <f>INDEX(Takımlar!$B$2:$B$18,G11)</f>
        <v>MÜŞAVİRLER F.C.</v>
      </c>
      <c r="D11" s="44" t="str">
        <f>IF(ISNUMBER('2. Hafta'!C2),'2. Hafta'!C2,"")</f>
        <v/>
      </c>
      <c r="E11" s="44" t="str">
        <f>IF(ISNUMBER('2. Hafta'!D2),'2. Hafta'!D2,"")</f>
        <v/>
      </c>
      <c r="F11" s="34" t="str">
        <f>INDEX(Takımlar!$B$2:$B$18,H11)</f>
        <v xml:space="preserve">DEFTERDARLIK </v>
      </c>
      <c r="G11" s="24">
        <v>15</v>
      </c>
      <c r="H11" s="24">
        <v>7</v>
      </c>
      <c r="I11" s="24">
        <v>2</v>
      </c>
      <c r="J11" s="27" t="s">
        <v>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</row>
    <row r="12" spans="1:1224" s="3" customFormat="1">
      <c r="A12" s="24">
        <v>2</v>
      </c>
      <c r="B12" s="24">
        <v>2</v>
      </c>
      <c r="C12" s="43" t="str">
        <f>INDEX(Takımlar!$B$2:$B$18,G12)</f>
        <v>ÇINAR</v>
      </c>
      <c r="D12" s="44" t="str">
        <f>IF(ISNUMBER('2. Hafta'!C3),'2. Hafta'!C3,"")</f>
        <v/>
      </c>
      <c r="E12" s="44" t="str">
        <f>IF(ISNUMBER('2. Hafta'!D3),'2. Hafta'!D3,"")</f>
        <v/>
      </c>
      <c r="F12" s="29" t="str">
        <f>INDEX(Takımlar!$B$2:$B$18,H12)</f>
        <v>ÖMRÜMÜZÜN  SON DEMİ</v>
      </c>
      <c r="G12" s="24">
        <v>3</v>
      </c>
      <c r="H12" s="24">
        <v>4</v>
      </c>
      <c r="I12" s="24">
        <v>3</v>
      </c>
      <c r="J12" s="27" t="s">
        <v>30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</row>
    <row r="13" spans="1:1224" s="3" customFormat="1">
      <c r="A13" s="24">
        <v>2</v>
      </c>
      <c r="B13" s="24">
        <v>3</v>
      </c>
      <c r="C13" s="28" t="str">
        <f>INDEX(Takımlar!$B$2:$B$18,G13)</f>
        <v>DEFALP DİJİTAL</v>
      </c>
      <c r="D13" s="44" t="str">
        <f>IF(ISNUMBER('2. Hafta'!C4),'2. Hafta'!C4,"")</f>
        <v/>
      </c>
      <c r="E13" s="44" t="str">
        <f>IF(ISNUMBER('2. Hafta'!D4),'2. Hafta'!D4,"")</f>
        <v/>
      </c>
      <c r="F13" s="30" t="str">
        <f>INDEX(Takımlar!$B$2:$B$18,H13)</f>
        <v>KİLİS</v>
      </c>
      <c r="G13" s="24">
        <v>12</v>
      </c>
      <c r="H13" s="24">
        <v>1</v>
      </c>
      <c r="I13" s="24">
        <v>1</v>
      </c>
      <c r="J13" s="27" t="s">
        <v>30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</row>
    <row r="14" spans="1:1224" s="3" customFormat="1">
      <c r="A14" s="24">
        <v>2</v>
      </c>
      <c r="B14" s="24">
        <v>4</v>
      </c>
      <c r="C14" s="32" t="str">
        <f>INDEX(Takımlar!$B$2:$B$18,G14)</f>
        <v>ETKİN SPOR</v>
      </c>
      <c r="D14" s="44" t="str">
        <f>IF(ISNUMBER('2. Hafta'!C5),'2. Hafta'!C5,"")</f>
        <v/>
      </c>
      <c r="E14" s="44" t="str">
        <f>IF(ISNUMBER('2. Hafta'!D5),'2. Hafta'!D5,"")</f>
        <v/>
      </c>
      <c r="F14" s="35" t="str">
        <f>INDEX(Takımlar!$B$2:$B$18,H14)</f>
        <v>VDK</v>
      </c>
      <c r="G14" s="24">
        <v>10</v>
      </c>
      <c r="H14" s="24">
        <v>13</v>
      </c>
      <c r="I14" s="24">
        <v>2</v>
      </c>
      <c r="J14" s="27" t="s">
        <v>29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</row>
    <row r="15" spans="1:1224" s="3" customFormat="1">
      <c r="A15" s="24">
        <v>2</v>
      </c>
      <c r="B15" s="24">
        <v>5</v>
      </c>
      <c r="C15" s="42" t="str">
        <f>INDEX(Takımlar!$B$2:$B$18,G15)</f>
        <v>FISTIKGÜCÜ</v>
      </c>
      <c r="D15" s="44" t="str">
        <f>IF(ISNUMBER('2. Hafta'!C6),'2. Hafta'!C6,"")</f>
        <v/>
      </c>
      <c r="E15" s="44" t="str">
        <f>IF(ISNUMBER('2. Hafta'!D6),'2. Hafta'!D6,"")</f>
        <v/>
      </c>
      <c r="F15" s="31" t="str">
        <f>INDEX(Takımlar!$B$2:$B$18,H15)</f>
        <v>ANKA</v>
      </c>
      <c r="G15" s="24">
        <v>11</v>
      </c>
      <c r="H15" s="24">
        <v>6</v>
      </c>
      <c r="I15" s="24">
        <v>1</v>
      </c>
      <c r="J15" s="27" t="s">
        <v>29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</row>
    <row r="16" spans="1:1224" s="3" customFormat="1">
      <c r="A16" s="24">
        <v>2</v>
      </c>
      <c r="B16" s="24">
        <v>6</v>
      </c>
      <c r="C16" s="25" t="str">
        <f>INDEX(Takımlar!$B$2:$B$18,G16)</f>
        <v>REFORM ANALİZ</v>
      </c>
      <c r="D16" s="44" t="str">
        <f>IF(ISNUMBER('2. Hafta'!C7),'2. Hafta'!C7,"")</f>
        <v/>
      </c>
      <c r="E16" s="44" t="str">
        <f>IF(ISNUMBER('2. Hafta'!D7),'2. Hafta'!D7,"")</f>
        <v/>
      </c>
      <c r="F16" s="33" t="str">
        <f>INDEX(Takımlar!$B$2:$B$18,H16)</f>
        <v>KARDEŞÇE</v>
      </c>
      <c r="G16" s="24">
        <v>2</v>
      </c>
      <c r="H16" s="24">
        <v>8</v>
      </c>
      <c r="I16" s="24">
        <v>2</v>
      </c>
      <c r="J16" s="40" t="s">
        <v>31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</row>
    <row r="17" spans="1:1224" s="3" customFormat="1">
      <c r="A17" s="24">
        <v>2</v>
      </c>
      <c r="B17" s="24">
        <v>7</v>
      </c>
      <c r="C17" s="37" t="str">
        <f>INDEX(Takımlar!$B$2:$B$18,G17)</f>
        <v>SGK</v>
      </c>
      <c r="D17" s="44" t="str">
        <f>IF(ISNUMBER('2. Hafta'!C8),'2. Hafta'!C8,"")</f>
        <v/>
      </c>
      <c r="E17" s="44" t="str">
        <f>IF(ISNUMBER('2. Hafta'!D8),'2. Hafta'!D8,"")</f>
        <v/>
      </c>
      <c r="F17" s="39" t="str">
        <f>INDEX(Takımlar!$B$2:$B$18,H17)</f>
        <v>ALL STAR 2026</v>
      </c>
      <c r="G17" s="24">
        <v>16</v>
      </c>
      <c r="H17" s="24">
        <v>9</v>
      </c>
      <c r="I17" s="24">
        <v>3</v>
      </c>
      <c r="J17" s="27" t="s">
        <v>29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</row>
    <row r="18" spans="1:1224" s="3" customFormat="1">
      <c r="A18" s="24">
        <v>2</v>
      </c>
      <c r="B18" s="24">
        <v>8</v>
      </c>
      <c r="C18" s="41" t="str">
        <f>INDEX(Takımlar!$B$2:$B$18,G18)</f>
        <v>GENÇLİK</v>
      </c>
      <c r="D18" s="44" t="str">
        <f>IF(ISNUMBER('2. Hafta'!C9),'2. Hafta'!C9,"")</f>
        <v/>
      </c>
      <c r="E18" s="44" t="str">
        <f>IF(ISNUMBER('2. Hafta'!D9),'2. Hafta'!D9,"")</f>
        <v/>
      </c>
      <c r="F18" s="36" t="str">
        <f>INDEX(Takımlar!$B$2:$B$18,H18)</f>
        <v>İŞKUR</v>
      </c>
      <c r="G18" s="24">
        <v>14</v>
      </c>
      <c r="H18" s="24">
        <v>17</v>
      </c>
      <c r="I18" s="24">
        <v>1</v>
      </c>
      <c r="J18" s="40" t="s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</row>
    <row r="19" spans="1:1224" s="114" customFormat="1">
      <c r="A19" s="112"/>
      <c r="B19" s="112"/>
      <c r="C19" s="113"/>
      <c r="D19" s="112"/>
      <c r="E19" s="112"/>
      <c r="F19" s="113"/>
      <c r="G19" s="112"/>
      <c r="H19" s="112"/>
      <c r="I19" s="112"/>
      <c r="J19" s="112"/>
    </row>
    <row r="20" spans="1:1224">
      <c r="A20" s="24">
        <v>3</v>
      </c>
      <c r="B20" s="24">
        <v>1</v>
      </c>
      <c r="C20" s="34" t="str">
        <f>INDEX(Takımlar!$B$2:$B$18,G20)</f>
        <v xml:space="preserve">DEFTERDARLIK </v>
      </c>
      <c r="D20" s="44" t="str">
        <f>IF(ISNUMBER('3. Hafta'!C2),'3. Hafta'!C2,"")</f>
        <v/>
      </c>
      <c r="E20" s="44" t="str">
        <f>IF(ISNUMBER('3. Hafta'!D2),'3. Hafta'!D2,"")</f>
        <v/>
      </c>
      <c r="F20" s="28" t="str">
        <f>INDEX(Takımlar!$B$2:$B$18,H20)</f>
        <v>DEFALP DİJİTAL</v>
      </c>
      <c r="G20" s="24">
        <v>7</v>
      </c>
      <c r="H20" s="24">
        <v>12</v>
      </c>
      <c r="I20" s="24">
        <v>1</v>
      </c>
      <c r="J20" s="27" t="s">
        <v>29</v>
      </c>
    </row>
    <row r="21" spans="1:1224">
      <c r="A21" s="24">
        <v>3</v>
      </c>
      <c r="B21" s="24">
        <v>2</v>
      </c>
      <c r="C21" s="32" t="str">
        <f>INDEX(Takımlar!$B$2:$B$18,G21)</f>
        <v>ETKİN SPOR</v>
      </c>
      <c r="D21" s="44" t="str">
        <f>IF(ISNUMBER('3. Hafta'!C3),'3. Hafta'!C3,"")</f>
        <v/>
      </c>
      <c r="E21" s="44" t="str">
        <f>IF(ISNUMBER('3. Hafta'!D3),'3. Hafta'!D3,"")</f>
        <v/>
      </c>
      <c r="F21" s="25" t="str">
        <f>INDEX(Takımlar!$B$2:$B$18,H21)</f>
        <v>REFORM ANALİZ</v>
      </c>
      <c r="G21" s="24">
        <v>10</v>
      </c>
      <c r="H21" s="24">
        <v>2</v>
      </c>
      <c r="I21" s="24">
        <v>1</v>
      </c>
      <c r="J21" s="40" t="s">
        <v>31</v>
      </c>
    </row>
    <row r="22" spans="1:1224">
      <c r="A22" s="24">
        <v>3</v>
      </c>
      <c r="B22" s="24">
        <v>3</v>
      </c>
      <c r="C22" s="38" t="str">
        <f>INDEX(Takımlar!$B$2:$B$18,G22)</f>
        <v>MERCAN</v>
      </c>
      <c r="D22" s="44" t="str">
        <f>IF(ISNUMBER('3. Hafta'!C4),'3. Hafta'!C4,"")</f>
        <v/>
      </c>
      <c r="E22" s="44" t="str">
        <f>IF(ISNUMBER('3. Hafta'!D4),'3. Hafta'!D4,"")</f>
        <v/>
      </c>
      <c r="F22" s="31" t="str">
        <f>INDEX(Takımlar!$B$2:$B$18,H22)</f>
        <v>ANKA</v>
      </c>
      <c r="G22" s="24">
        <v>5</v>
      </c>
      <c r="H22" s="24">
        <v>6</v>
      </c>
      <c r="I22" s="24">
        <v>1</v>
      </c>
      <c r="J22" s="27" t="s">
        <v>30</v>
      </c>
    </row>
    <row r="23" spans="1:1224">
      <c r="A23" s="24">
        <v>3</v>
      </c>
      <c r="B23" s="24">
        <v>4</v>
      </c>
      <c r="C23" s="37" t="str">
        <f>INDEX(Takımlar!$B$2:$B$18,G23)</f>
        <v>SGK</v>
      </c>
      <c r="D23" s="44" t="str">
        <f>IF(ISNUMBER('3. Hafta'!C5),'3. Hafta'!C5,"")</f>
        <v/>
      </c>
      <c r="E23" s="44" t="str">
        <f>IF(ISNUMBER('3. Hafta'!D5),'3. Hafta'!D5,"")</f>
        <v/>
      </c>
      <c r="F23" s="42" t="str">
        <f>INDEX(Takımlar!$B$2:$B$18,H23)</f>
        <v>FISTIKGÜCÜ</v>
      </c>
      <c r="G23" s="24">
        <v>16</v>
      </c>
      <c r="H23" s="24">
        <v>11</v>
      </c>
      <c r="I23" s="24">
        <v>2</v>
      </c>
      <c r="J23" s="27" t="s">
        <v>29</v>
      </c>
    </row>
    <row r="24" spans="1:1224">
      <c r="A24" s="24">
        <v>3</v>
      </c>
      <c r="B24" s="24">
        <v>5</v>
      </c>
      <c r="C24" s="43" t="str">
        <f>INDEX(Takımlar!$B$2:$B$18,G24)</f>
        <v>ÇINAR</v>
      </c>
      <c r="D24" s="44" t="str">
        <f>IF(ISNUMBER('3. Hafta'!C6),'3. Hafta'!C6,"")</f>
        <v/>
      </c>
      <c r="E24" s="44" t="str">
        <f>IF(ISNUMBER('3. Hafta'!D6),'3. Hafta'!D6,"")</f>
        <v/>
      </c>
      <c r="F24" s="26" t="str">
        <f>INDEX(Takımlar!$B$2:$B$18,H24)</f>
        <v>MÜŞAVİRLER F.C.</v>
      </c>
      <c r="G24" s="24">
        <v>3</v>
      </c>
      <c r="H24" s="24">
        <v>15</v>
      </c>
      <c r="I24" s="24">
        <v>3</v>
      </c>
      <c r="J24" s="27" t="s">
        <v>29</v>
      </c>
    </row>
    <row r="25" spans="1:1224">
      <c r="A25" s="24">
        <v>3</v>
      </c>
      <c r="B25" s="24">
        <v>6</v>
      </c>
      <c r="C25" s="41" t="str">
        <f>INDEX(Takımlar!$B$2:$B$18,G25)</f>
        <v>GENÇLİK</v>
      </c>
      <c r="D25" s="44" t="str">
        <f>IF(ISNUMBER('3. Hafta'!C7),'3. Hafta'!C7,"")</f>
        <v/>
      </c>
      <c r="E25" s="44" t="str">
        <f>IF(ISNUMBER('3. Hafta'!D7),'3. Hafta'!D7,"")</f>
        <v/>
      </c>
      <c r="F25" s="33" t="str">
        <f>INDEX(Takımlar!$B$2:$B$18,H25)</f>
        <v>KARDEŞÇE</v>
      </c>
      <c r="G25" s="24">
        <v>14</v>
      </c>
      <c r="H25" s="24">
        <v>8</v>
      </c>
      <c r="I25" s="24">
        <v>2</v>
      </c>
      <c r="J25" s="27" t="s">
        <v>30</v>
      </c>
    </row>
    <row r="26" spans="1:1224">
      <c r="A26" s="24">
        <v>3</v>
      </c>
      <c r="B26" s="24">
        <v>7</v>
      </c>
      <c r="C26" s="30" t="str">
        <f>INDEX(Takımlar!$B$2:$B$18,G26)</f>
        <v>KİLİS</v>
      </c>
      <c r="D26" s="44" t="str">
        <f>IF(ISNUMBER('3. Hafta'!C8),'3. Hafta'!C8,"")</f>
        <v/>
      </c>
      <c r="E26" s="44" t="str">
        <f>IF(ISNUMBER('3. Hafta'!D8),'3. Hafta'!D8,"")</f>
        <v/>
      </c>
      <c r="F26" s="29" t="str">
        <f>INDEX(Takımlar!$B$2:$B$18,H26)</f>
        <v>ÖMRÜMÜZÜN  SON DEMİ</v>
      </c>
      <c r="G26" s="24">
        <v>1</v>
      </c>
      <c r="H26" s="24">
        <v>4</v>
      </c>
      <c r="I26" s="24">
        <v>3</v>
      </c>
      <c r="J26" s="27" t="s">
        <v>30</v>
      </c>
    </row>
    <row r="27" spans="1:1224" s="114" customFormat="1">
      <c r="A27" s="112"/>
      <c r="B27" s="112"/>
      <c r="C27" s="113"/>
      <c r="D27" s="112"/>
      <c r="E27" s="112"/>
      <c r="F27" s="113"/>
      <c r="G27" s="112"/>
      <c r="H27" s="112"/>
      <c r="I27" s="112"/>
      <c r="J27" s="112"/>
    </row>
    <row r="28" spans="1:1224" s="3" customFormat="1">
      <c r="A28" s="24">
        <v>4</v>
      </c>
      <c r="B28" s="24">
        <v>1</v>
      </c>
      <c r="C28" s="34" t="str">
        <f>INDEX(Takımlar!$B$2:$B$18,G28)</f>
        <v xml:space="preserve">DEFTERDARLIK </v>
      </c>
      <c r="D28" s="44" t="str">
        <f>IF(ISNUMBER('4. Hafta'!C2),'4. Hafta'!C2,"")</f>
        <v/>
      </c>
      <c r="E28" s="44" t="str">
        <f>IF(ISNUMBER('4. Hafta'!D2),'4. Hafta'!D2,"")</f>
        <v/>
      </c>
      <c r="F28" s="43" t="str">
        <f>INDEX(Takımlar!$B$2:$B$18,H28)</f>
        <v>ÇINAR</v>
      </c>
      <c r="G28" s="24">
        <v>7</v>
      </c>
      <c r="H28" s="24">
        <v>3</v>
      </c>
      <c r="I28" s="24">
        <v>1</v>
      </c>
      <c r="J28" s="27" t="s">
        <v>30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</row>
    <row r="29" spans="1:1224" s="3" customFormat="1">
      <c r="A29" s="24">
        <v>4</v>
      </c>
      <c r="B29" s="24">
        <v>2</v>
      </c>
      <c r="C29" s="32" t="str">
        <f>INDEX(Takımlar!$B$2:$B$18,G29)</f>
        <v>ETKİN SPOR</v>
      </c>
      <c r="D29" s="44" t="str">
        <f>IF(ISNUMBER('4. Hafta'!C3),'4. Hafta'!C3,"")</f>
        <v/>
      </c>
      <c r="E29" s="44" t="str">
        <f>IF(ISNUMBER('4. Hafta'!D3),'4. Hafta'!D3,"")</f>
        <v/>
      </c>
      <c r="F29" s="36" t="str">
        <f>INDEX(Takımlar!$B$2:$B$18,H29)</f>
        <v>İŞKUR</v>
      </c>
      <c r="G29" s="24">
        <v>10</v>
      </c>
      <c r="H29" s="24">
        <v>17</v>
      </c>
      <c r="I29" s="24">
        <v>2</v>
      </c>
      <c r="J29" s="27" t="s">
        <v>30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</row>
    <row r="30" spans="1:1224" s="3" customFormat="1">
      <c r="A30" s="24">
        <v>4</v>
      </c>
      <c r="B30" s="24">
        <v>3</v>
      </c>
      <c r="C30" s="38" t="str">
        <f>INDEX(Takımlar!$B$2:$B$18,G30)</f>
        <v>MERCAN</v>
      </c>
      <c r="D30" s="44" t="str">
        <f>IF(ISNUMBER('4. Hafta'!C4),'4. Hafta'!C4,"")</f>
        <v/>
      </c>
      <c r="E30" s="44" t="str">
        <f>IF(ISNUMBER('4. Hafta'!D4),'4. Hafta'!D4,"")</f>
        <v/>
      </c>
      <c r="F30" s="30" t="str">
        <f>INDEX(Takımlar!$B$2:$B$18,H30)</f>
        <v>KİLİS</v>
      </c>
      <c r="G30" s="24">
        <v>5</v>
      </c>
      <c r="H30" s="24">
        <v>1</v>
      </c>
      <c r="I30" s="24">
        <v>3</v>
      </c>
      <c r="J30" s="27" t="s">
        <v>30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</row>
    <row r="31" spans="1:1224" s="3" customFormat="1">
      <c r="A31" s="24">
        <v>4</v>
      </c>
      <c r="B31" s="24">
        <v>4</v>
      </c>
      <c r="C31" s="25" t="str">
        <f>INDEX(Takımlar!$B$2:$B$18,G31)</f>
        <v>REFORM ANALİZ</v>
      </c>
      <c r="D31" s="44" t="str">
        <f>IF(ISNUMBER('4. Hafta'!C5),'4. Hafta'!C5,"")</f>
        <v/>
      </c>
      <c r="E31" s="44" t="str">
        <f>IF(ISNUMBER('4. Hafta'!D5),'4. Hafta'!D5,"")</f>
        <v/>
      </c>
      <c r="F31" s="35" t="str">
        <f>INDEX(Takımlar!$B$2:$B$18,H31)</f>
        <v>VDK</v>
      </c>
      <c r="G31" s="24">
        <v>2</v>
      </c>
      <c r="H31" s="24">
        <v>13</v>
      </c>
      <c r="I31" s="24">
        <v>1</v>
      </c>
      <c r="J31" s="27" t="s">
        <v>29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</row>
    <row r="32" spans="1:1224" s="3" customFormat="1">
      <c r="A32" s="24">
        <v>4</v>
      </c>
      <c r="B32" s="24">
        <v>5</v>
      </c>
      <c r="C32" s="37" t="str">
        <f>INDEX(Takımlar!$B$2:$B$18,G32)</f>
        <v>SGK</v>
      </c>
      <c r="D32" s="44" t="str">
        <f>IF(ISNUMBER('4. Hafta'!C6),'4. Hafta'!C6,"")</f>
        <v/>
      </c>
      <c r="E32" s="44" t="str">
        <f>IF(ISNUMBER('4. Hafta'!D6),'4. Hafta'!D6,"")</f>
        <v/>
      </c>
      <c r="F32" s="41" t="str">
        <f>INDEX(Takımlar!$B$2:$B$18,H32)</f>
        <v>GENÇLİK</v>
      </c>
      <c r="G32" s="24">
        <v>16</v>
      </c>
      <c r="H32" s="24">
        <v>14</v>
      </c>
      <c r="I32" s="24">
        <v>3</v>
      </c>
      <c r="J32" s="27" t="s">
        <v>29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</row>
    <row r="33" spans="1:1224" s="3" customFormat="1">
      <c r="A33" s="24">
        <v>4</v>
      </c>
      <c r="B33" s="24">
        <v>6</v>
      </c>
      <c r="C33" s="31" t="str">
        <f>INDEX(Takımlar!$B$2:$B$18,G33)</f>
        <v>ANKA</v>
      </c>
      <c r="D33" s="44" t="str">
        <f>IF(ISNUMBER('4. Hafta'!C7),'4. Hafta'!C7,"")</f>
        <v/>
      </c>
      <c r="E33" s="44" t="str">
        <f>IF(ISNUMBER('4. Hafta'!D7),'4. Hafta'!D7,"")</f>
        <v/>
      </c>
      <c r="F33" s="39" t="str">
        <f>INDEX(Takımlar!$B$2:$B$18,H33)</f>
        <v>ALL STAR 2026</v>
      </c>
      <c r="G33" s="24">
        <v>6</v>
      </c>
      <c r="H33" s="24">
        <v>9</v>
      </c>
      <c r="I33" s="24">
        <v>2</v>
      </c>
      <c r="J33" s="27" t="s">
        <v>29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</row>
    <row r="34" spans="1:1224" s="114" customFormat="1">
      <c r="A34" s="112"/>
      <c r="B34" s="112"/>
      <c r="C34" s="113"/>
      <c r="D34" s="112"/>
      <c r="E34" s="112"/>
      <c r="F34" s="113"/>
      <c r="G34" s="112"/>
      <c r="H34" s="112"/>
      <c r="I34" s="112"/>
      <c r="J34" s="112"/>
    </row>
    <row r="35" spans="1:1224">
      <c r="A35" s="24">
        <v>5</v>
      </c>
      <c r="B35" s="24">
        <v>1</v>
      </c>
      <c r="C35" s="29" t="str">
        <f>INDEX(Takımlar!$B$2:$B$18,G35)</f>
        <v>ÖMRÜMÜZÜN  SON DEMİ</v>
      </c>
      <c r="D35" s="44" t="str">
        <f>IF(ISNUMBER('5. Hafta'!C2),'5. Hafta'!C2,"")</f>
        <v/>
      </c>
      <c r="E35" s="44" t="str">
        <f>IF(ISNUMBER('5. Hafta'!D2),'5. Hafta'!D2,"")</f>
        <v/>
      </c>
      <c r="F35" s="38" t="str">
        <f>INDEX(Takımlar!$B$2:$B$18,H35)</f>
        <v>MERCAN</v>
      </c>
      <c r="G35" s="24">
        <v>4</v>
      </c>
      <c r="H35" s="24">
        <v>5</v>
      </c>
      <c r="I35" s="24">
        <v>1</v>
      </c>
      <c r="J35" s="27" t="s">
        <v>30</v>
      </c>
    </row>
    <row r="36" spans="1:1224">
      <c r="A36" s="24">
        <v>5</v>
      </c>
      <c r="B36" s="24">
        <v>2</v>
      </c>
      <c r="C36" s="26" t="str">
        <f>INDEX(Takımlar!$B$2:$B$18,G36)</f>
        <v>MÜŞAVİRLER F.C.</v>
      </c>
      <c r="D36" s="44" t="str">
        <f>IF(ISNUMBER('5. Hafta'!C3),'5. Hafta'!C3,"")</f>
        <v/>
      </c>
      <c r="E36" s="44" t="str">
        <f>IF(ISNUMBER('5. Hafta'!D3),'5. Hafta'!D3,"")</f>
        <v/>
      </c>
      <c r="F36" s="35" t="str">
        <f>INDEX(Takımlar!$B$2:$B$18,H36)</f>
        <v>VDK</v>
      </c>
      <c r="G36" s="24">
        <v>15</v>
      </c>
      <c r="H36" s="24">
        <v>13</v>
      </c>
      <c r="I36" s="24">
        <v>2</v>
      </c>
      <c r="J36" s="27" t="s">
        <v>30</v>
      </c>
    </row>
    <row r="37" spans="1:1224">
      <c r="A37" s="24">
        <v>5</v>
      </c>
      <c r="B37" s="24">
        <v>3</v>
      </c>
      <c r="C37" s="43" t="str">
        <f>INDEX(Takımlar!$B$2:$B$18,G37)</f>
        <v>ÇINAR</v>
      </c>
      <c r="D37" s="44" t="str">
        <f>IF(ISNUMBER('5. Hafta'!C4),'5. Hafta'!C4,"")</f>
        <v/>
      </c>
      <c r="E37" s="44" t="str">
        <f>IF(ISNUMBER('5. Hafta'!D4),'5. Hafta'!D4,"")</f>
        <v/>
      </c>
      <c r="F37" s="28" t="str">
        <f>INDEX(Takımlar!$B$2:$B$18,H37)</f>
        <v>DEFALP DİJİTAL</v>
      </c>
      <c r="G37" s="24">
        <v>3</v>
      </c>
      <c r="H37" s="24">
        <v>12</v>
      </c>
      <c r="I37" s="24">
        <v>3</v>
      </c>
      <c r="J37" s="27" t="s">
        <v>30</v>
      </c>
    </row>
    <row r="38" spans="1:1224">
      <c r="A38" s="24">
        <v>5</v>
      </c>
      <c r="B38" s="24">
        <v>4</v>
      </c>
      <c r="C38" s="36" t="str">
        <f>INDEX(Takımlar!$B$2:$B$18,G38)</f>
        <v>İŞKUR</v>
      </c>
      <c r="D38" s="44" t="str">
        <f>IF(ISNUMBER('5. Hafta'!C5),'5. Hafta'!C5,"")</f>
        <v/>
      </c>
      <c r="E38" s="44" t="str">
        <f>IF(ISNUMBER('5. Hafta'!D5),'5. Hafta'!D5,"")</f>
        <v/>
      </c>
      <c r="F38" s="33" t="str">
        <f>INDEX(Takımlar!$B$2:$B$18,H38)</f>
        <v>KARDEŞÇE</v>
      </c>
      <c r="G38" s="24">
        <v>17</v>
      </c>
      <c r="H38" s="24">
        <v>8</v>
      </c>
      <c r="I38" s="24">
        <v>2</v>
      </c>
      <c r="J38" s="27" t="s">
        <v>29</v>
      </c>
    </row>
    <row r="39" spans="1:1224">
      <c r="A39" s="24">
        <v>5</v>
      </c>
      <c r="B39" s="24">
        <v>5</v>
      </c>
      <c r="C39" s="39" t="str">
        <f>INDEX(Takımlar!$B$2:$B$18,G39)</f>
        <v>ALL STAR 2026</v>
      </c>
      <c r="D39" s="44" t="str">
        <f>IF(ISNUMBER('5. Hafta'!C6),'5. Hafta'!C6,"")</f>
        <v/>
      </c>
      <c r="E39" s="44" t="str">
        <f>IF(ISNUMBER('5. Hafta'!D6),'5. Hafta'!D6,"")</f>
        <v/>
      </c>
      <c r="F39" s="42" t="str">
        <f>INDEX(Takımlar!$B$2:$B$18,H39)</f>
        <v>FISTIKGÜCÜ</v>
      </c>
      <c r="G39" s="24">
        <v>9</v>
      </c>
      <c r="H39" s="24">
        <v>11</v>
      </c>
      <c r="I39" s="24">
        <v>1</v>
      </c>
      <c r="J39" s="27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workbookViewId="0">
      <pane ySplit="1" topLeftCell="A2" activePane="bottomLeft" state="frozen"/>
      <selection pane="bottomLeft" activeCell="B18" sqref="B18"/>
    </sheetView>
  </sheetViews>
  <sheetFormatPr defaultRowHeight="13.8"/>
  <cols>
    <col min="1" max="1" width="7" style="21" customWidth="1"/>
    <col min="2" max="2" width="28" customWidth="1"/>
    <col min="3" max="6" width="6" customWidth="1"/>
    <col min="7" max="10" width="7.796875" customWidth="1"/>
    <col min="11" max="11" width="12.69921875" customWidth="1"/>
  </cols>
  <sheetData>
    <row r="1" spans="1:11" s="23" customFormat="1" ht="30" customHeight="1">
      <c r="A1" s="22" t="s">
        <v>32</v>
      </c>
      <c r="B1" s="22" t="s">
        <v>33</v>
      </c>
      <c r="C1" s="22" t="s">
        <v>34</v>
      </c>
      <c r="D1" s="22" t="s">
        <v>35</v>
      </c>
      <c r="E1" s="22" t="s">
        <v>36</v>
      </c>
      <c r="F1" s="22" t="s">
        <v>37</v>
      </c>
      <c r="G1" s="22" t="s">
        <v>38</v>
      </c>
      <c r="H1" s="22" t="s">
        <v>39</v>
      </c>
      <c r="I1" s="22" t="s">
        <v>40</v>
      </c>
      <c r="J1" s="22" t="s">
        <v>41</v>
      </c>
      <c r="K1" s="46" t="s">
        <v>122</v>
      </c>
    </row>
    <row r="2" spans="1:11">
      <c r="A2" s="21">
        <f t="shared" ref="A2:A18" si="0">1+COUNTIF($K$2:$K$18,"&gt;"&amp;K2)</f>
        <v>1</v>
      </c>
      <c r="B2" s="4" t="str">
        <f>Takımlar!B2</f>
        <v>KİLİS</v>
      </c>
      <c r="C2">
        <f>SUMPRODUCT((Fikstür!$G$2:$G$39=1)*ISNUMBER(Fikstür!$D$2:$D$39)*ISNUMBER(Fikstür!$E$2:$E$39))+SUMPRODUCT((Fikstür!$H$2:$H$39=1)*ISNUMBER(Fikstür!$D$2:$D$39)*ISNUMBER(Fikstür!$E$2:$E$39))</f>
        <v>0</v>
      </c>
      <c r="D2">
        <f>SUMPRODUCT((Fikstür!$G$2:$G$39=1)*(Fikstür!$D$2:$D$39&gt;Fikstür!$E$2:$E$39)*ISNUMBER(Fikstür!$D$2:$D$39)*ISNUMBER(Fikstür!$E$2:$E$39))+SUMPRODUCT((Fikstür!$H$2:$H$39=1)*(Fikstür!$E$2:$E$39&gt;Fikstür!$D$2:$D$39)*ISNUMBER(Fikstür!$D$2:$D$39)*ISNUMBER(Fikstür!$E$2:$E$39))</f>
        <v>0</v>
      </c>
      <c r="E2">
        <f>SUMPRODUCT(((Fikstür!$G$2:$G$39=1)+(Fikstür!$H$2:$H$39=1))*(Fikstür!$D$2:$D$39=Fikstür!$E$2:$E$39)*ISNUMBER(Fikstür!$D$2:$D$39)*ISNUMBER(Fikstür!$E$2:$E$39))</f>
        <v>0</v>
      </c>
      <c r="F2">
        <f t="shared" ref="F2:F18" si="1">C2-D2-E2</f>
        <v>0</v>
      </c>
      <c r="G2">
        <f>SUMIFS(Fikstür!$D$2:$D$39,Fikstür!$G$2:$G$39,1,Fikstür!$E$2:$E$39,"&gt;=0")+SUMIFS(Fikstür!$E$2:$E$39,Fikstür!$H$2:$H$39,1,Fikstür!$D$2:$D$39,"&gt;=0")</f>
        <v>0</v>
      </c>
      <c r="H2">
        <f>SUMIFS(Fikstür!$E$2:$E$39,Fikstür!$G$2:$G$39,1,Fikstür!$D$2:$D$39,"&gt;=0")+SUMIFS(Fikstür!$D$2:$D$39,Fikstür!$H$2:$H$39,1,Fikstür!$E$2:$E$39,"&gt;=0")</f>
        <v>0</v>
      </c>
      <c r="I2">
        <f t="shared" ref="I2:I18" si="2">G2-H2</f>
        <v>0</v>
      </c>
      <c r="J2" s="2">
        <f t="shared" ref="J2:J18" si="3">D2*3+E2</f>
        <v>0</v>
      </c>
      <c r="K2">
        <f>J2*1000000+I2*10000+G2*100+(17)</f>
        <v>17</v>
      </c>
    </row>
    <row r="3" spans="1:11">
      <c r="A3" s="21">
        <f t="shared" si="0"/>
        <v>2</v>
      </c>
      <c r="B3" s="5" t="str">
        <f>Takımlar!B3</f>
        <v>REFORM ANALİZ</v>
      </c>
      <c r="C3">
        <f>SUMPRODUCT((Fikstür!$G$2:$G$39=2)*ISNUMBER(Fikstür!$D$2:$D$39)*ISNUMBER(Fikstür!$E$2:$E$39))+SUMPRODUCT((Fikstür!$H$2:$H$39=2)*ISNUMBER(Fikstür!$D$2:$D$39)*ISNUMBER(Fikstür!$E$2:$E$39))</f>
        <v>0</v>
      </c>
      <c r="D3">
        <f>SUMPRODUCT((Fikstür!$G$2:$G$39=2)*(Fikstür!$D$2:$D$39&gt;Fikstür!$E$2:$E$39)*ISNUMBER(Fikstür!$D$2:$D$39)*ISNUMBER(Fikstür!$E$2:$E$39))+SUMPRODUCT((Fikstür!$H$2:$H$39=2)*(Fikstür!$E$2:$E$39&gt;Fikstür!$D$2:$D$39)*ISNUMBER(Fikstür!$D$2:$D$39)*ISNUMBER(Fikstür!$E$2:$E$39))</f>
        <v>0</v>
      </c>
      <c r="E3">
        <f>SUMPRODUCT(((Fikstür!$G$2:$G$39=2)+(Fikstür!$H$2:$H$39=2))*(Fikstür!$D$2:$D$39=Fikstür!$E$2:$E$39)*ISNUMBER(Fikstür!$D$2:$D$39)*ISNUMBER(Fikstür!$E$2:$E$39))</f>
        <v>0</v>
      </c>
      <c r="F3">
        <f t="shared" si="1"/>
        <v>0</v>
      </c>
      <c r="G3">
        <f>SUMIFS(Fikstür!$D$2:$D$39,Fikstür!$G$2:$G$39,2,Fikstür!$E$2:$E$39,"&gt;=0")+SUMIFS(Fikstür!$E$2:$E$39,Fikstür!$H$2:$H$39,2,Fikstür!$D$2:$D$39,"&gt;=0")</f>
        <v>0</v>
      </c>
      <c r="H3">
        <f>SUMIFS(Fikstür!$E$2:$E$39,Fikstür!$G$2:$G$39,2,Fikstür!$D$2:$D$39,"&gt;=0")+SUMIFS(Fikstür!$D$2:$D$39,Fikstür!$H$2:$H$39,2,Fikstür!$E$2:$E$39,"&gt;=0")</f>
        <v>0</v>
      </c>
      <c r="I3">
        <f t="shared" si="2"/>
        <v>0</v>
      </c>
      <c r="J3" s="2">
        <f t="shared" si="3"/>
        <v>0</v>
      </c>
      <c r="K3">
        <f>J3*1000000+I3*10000+G3*100+(16)</f>
        <v>16</v>
      </c>
    </row>
    <row r="4" spans="1:11">
      <c r="A4" s="21">
        <f t="shared" si="0"/>
        <v>3</v>
      </c>
      <c r="B4" s="6" t="str">
        <f>Takımlar!B4</f>
        <v>ÇINAR</v>
      </c>
      <c r="C4">
        <f>SUMPRODUCT((Fikstür!$G$2:$G$39=3)*ISNUMBER(Fikstür!$D$2:$D$39)*ISNUMBER(Fikstür!$E$2:$E$39))+SUMPRODUCT((Fikstür!$H$2:$H$39=3)*ISNUMBER(Fikstür!$D$2:$D$39)*ISNUMBER(Fikstür!$E$2:$E$39))</f>
        <v>0</v>
      </c>
      <c r="D4">
        <f>SUMPRODUCT((Fikstür!$G$2:$G$39=3)*(Fikstür!$D$2:$D$39&gt;Fikstür!$E$2:$E$39)*ISNUMBER(Fikstür!$D$2:$D$39)*ISNUMBER(Fikstür!$E$2:$E$39))+SUMPRODUCT((Fikstür!$H$2:$H$39=3)*(Fikstür!$E$2:$E$39&gt;Fikstür!$D$2:$D$39)*ISNUMBER(Fikstür!$D$2:$D$39)*ISNUMBER(Fikstür!$E$2:$E$39))</f>
        <v>0</v>
      </c>
      <c r="E4">
        <f>SUMPRODUCT(((Fikstür!$G$2:$G$39=3)+(Fikstür!$H$2:$H$39=3))*(Fikstür!$D$2:$D$39=Fikstür!$E$2:$E$39)*ISNUMBER(Fikstür!$D$2:$D$39)*ISNUMBER(Fikstür!$E$2:$E$39))</f>
        <v>0</v>
      </c>
      <c r="F4">
        <f t="shared" si="1"/>
        <v>0</v>
      </c>
      <c r="G4">
        <f>SUMIFS(Fikstür!$D$2:$D$39,Fikstür!$G$2:$G$39,3,Fikstür!$E$2:$E$39,"&gt;=0")+SUMIFS(Fikstür!$E$2:$E$39,Fikstür!$H$2:$H$39,3,Fikstür!$D$2:$D$39,"&gt;=0")</f>
        <v>0</v>
      </c>
      <c r="H4">
        <f>SUMIFS(Fikstür!$E$2:$E$39,Fikstür!$G$2:$G$39,3,Fikstür!$D$2:$D$39,"&gt;=0")+SUMIFS(Fikstür!$D$2:$D$39,Fikstür!$H$2:$H$39,3,Fikstür!$E$2:$E$39,"&gt;=0")</f>
        <v>0</v>
      </c>
      <c r="I4">
        <f t="shared" si="2"/>
        <v>0</v>
      </c>
      <c r="J4" s="2">
        <f t="shared" si="3"/>
        <v>0</v>
      </c>
      <c r="K4">
        <f>J4*1000000+I4*10000+G4*100+(15)</f>
        <v>15</v>
      </c>
    </row>
    <row r="5" spans="1:11">
      <c r="A5" s="21">
        <f t="shared" si="0"/>
        <v>4</v>
      </c>
      <c r="B5" s="7" t="str">
        <f>Takımlar!B5</f>
        <v>ÖMRÜMÜZÜN  SON DEMİ</v>
      </c>
      <c r="C5">
        <f>SUMPRODUCT((Fikstür!$G$2:$G$39=4)*ISNUMBER(Fikstür!$D$2:$D$39)*ISNUMBER(Fikstür!$E$2:$E$39))+SUMPRODUCT((Fikstür!$H$2:$H$39=4)*ISNUMBER(Fikstür!$D$2:$D$39)*ISNUMBER(Fikstür!$E$2:$E$39))</f>
        <v>0</v>
      </c>
      <c r="D5">
        <f>SUMPRODUCT((Fikstür!$G$2:$G$39=4)*(Fikstür!$D$2:$D$39&gt;Fikstür!$E$2:$E$39)*ISNUMBER(Fikstür!$D$2:$D$39)*ISNUMBER(Fikstür!$E$2:$E$39))+SUMPRODUCT((Fikstür!$H$2:$H$39=4)*(Fikstür!$E$2:$E$39&gt;Fikstür!$D$2:$D$39)*ISNUMBER(Fikstür!$D$2:$D$39)*ISNUMBER(Fikstür!$E$2:$E$39))</f>
        <v>0</v>
      </c>
      <c r="E5">
        <f>SUMPRODUCT(((Fikstür!$G$2:$G$39=4)+(Fikstür!$H$2:$H$39=4))*(Fikstür!$D$2:$D$39=Fikstür!$E$2:$E$39)*ISNUMBER(Fikstür!$D$2:$D$39)*ISNUMBER(Fikstür!$E$2:$E$39))</f>
        <v>0</v>
      </c>
      <c r="F5">
        <f t="shared" si="1"/>
        <v>0</v>
      </c>
      <c r="G5">
        <f>SUMIFS(Fikstür!$D$2:$D$39,Fikstür!$G$2:$G$39,4,Fikstür!$E$2:$E$39,"&gt;=0")+SUMIFS(Fikstür!$E$2:$E$39,Fikstür!$H$2:$H$39,4,Fikstür!$D$2:$D$39,"&gt;=0")</f>
        <v>0</v>
      </c>
      <c r="H5">
        <f>SUMIFS(Fikstür!$E$2:$E$39,Fikstür!$G$2:$G$39,4,Fikstür!$D$2:$D$39,"&gt;=0")+SUMIFS(Fikstür!$D$2:$D$39,Fikstür!$H$2:$H$39,4,Fikstür!$E$2:$E$39,"&gt;=0")</f>
        <v>0</v>
      </c>
      <c r="I5">
        <f t="shared" si="2"/>
        <v>0</v>
      </c>
      <c r="J5" s="2">
        <f t="shared" si="3"/>
        <v>0</v>
      </c>
      <c r="K5">
        <f>J5*1000000+I5*10000+G5*100+(14)</f>
        <v>14</v>
      </c>
    </row>
    <row r="6" spans="1:11">
      <c r="A6" s="21">
        <f t="shared" si="0"/>
        <v>5</v>
      </c>
      <c r="B6" s="8" t="str">
        <f>Takımlar!B6</f>
        <v>MERCAN</v>
      </c>
      <c r="C6">
        <f>SUMPRODUCT((Fikstür!$G$2:$G$39=5)*ISNUMBER(Fikstür!$D$2:$D$39)*ISNUMBER(Fikstür!$E$2:$E$39))+SUMPRODUCT((Fikstür!$H$2:$H$39=5)*ISNUMBER(Fikstür!$D$2:$D$39)*ISNUMBER(Fikstür!$E$2:$E$39))</f>
        <v>0</v>
      </c>
      <c r="D6">
        <f>SUMPRODUCT((Fikstür!$G$2:$G$39=5)*(Fikstür!$D$2:$D$39&gt;Fikstür!$E$2:$E$39)*ISNUMBER(Fikstür!$D$2:$D$39)*ISNUMBER(Fikstür!$E$2:$E$39))+SUMPRODUCT((Fikstür!$H$2:$H$39=5)*(Fikstür!$E$2:$E$39&gt;Fikstür!$D$2:$D$39)*ISNUMBER(Fikstür!$D$2:$D$39)*ISNUMBER(Fikstür!$E$2:$E$39))</f>
        <v>0</v>
      </c>
      <c r="E6">
        <f>SUMPRODUCT(((Fikstür!$G$2:$G$39=5)+(Fikstür!$H$2:$H$39=5))*(Fikstür!$D$2:$D$39=Fikstür!$E$2:$E$39)*ISNUMBER(Fikstür!$D$2:$D$39)*ISNUMBER(Fikstür!$E$2:$E$39))</f>
        <v>0</v>
      </c>
      <c r="F6">
        <f t="shared" si="1"/>
        <v>0</v>
      </c>
      <c r="G6">
        <f>SUMIFS(Fikstür!$D$2:$D$39,Fikstür!$G$2:$G$39,5,Fikstür!$E$2:$E$39,"&gt;=0")+SUMIFS(Fikstür!$E$2:$E$39,Fikstür!$H$2:$H$39,5,Fikstür!$D$2:$D$39,"&gt;=0")</f>
        <v>0</v>
      </c>
      <c r="H6">
        <f>SUMIFS(Fikstür!$E$2:$E$39,Fikstür!$G$2:$G$39,5,Fikstür!$D$2:$D$39,"&gt;=0")+SUMIFS(Fikstür!$D$2:$D$39,Fikstür!$H$2:$H$39,5,Fikstür!$E$2:$E$39,"&gt;=0")</f>
        <v>0</v>
      </c>
      <c r="I6">
        <f t="shared" si="2"/>
        <v>0</v>
      </c>
      <c r="J6" s="2">
        <f t="shared" si="3"/>
        <v>0</v>
      </c>
      <c r="K6">
        <f>J6*1000000+I6*10000+G6*100+(13)</f>
        <v>13</v>
      </c>
    </row>
    <row r="7" spans="1:11">
      <c r="A7" s="21">
        <f t="shared" si="0"/>
        <v>6</v>
      </c>
      <c r="B7" s="9" t="str">
        <f>Takımlar!B7</f>
        <v>ANKA</v>
      </c>
      <c r="C7">
        <f>SUMPRODUCT((Fikstür!$G$2:$G$39=6)*ISNUMBER(Fikstür!$D$2:$D$39)*ISNUMBER(Fikstür!$E$2:$E$39))+SUMPRODUCT((Fikstür!$H$2:$H$39=6)*ISNUMBER(Fikstür!$D$2:$D$39)*ISNUMBER(Fikstür!$E$2:$E$39))</f>
        <v>0</v>
      </c>
      <c r="D7">
        <f>SUMPRODUCT((Fikstür!$G$2:$G$39=6)*(Fikstür!$D$2:$D$39&gt;Fikstür!$E$2:$E$39)*ISNUMBER(Fikstür!$D$2:$D$39)*ISNUMBER(Fikstür!$E$2:$E$39))+SUMPRODUCT((Fikstür!$H$2:$H$39=6)*(Fikstür!$E$2:$E$39&gt;Fikstür!$D$2:$D$39)*ISNUMBER(Fikstür!$D$2:$D$39)*ISNUMBER(Fikstür!$E$2:$E$39))</f>
        <v>0</v>
      </c>
      <c r="E7">
        <f>SUMPRODUCT(((Fikstür!$G$2:$G$39=6)+(Fikstür!$H$2:$H$39=6))*(Fikstür!$D$2:$D$39=Fikstür!$E$2:$E$39)*ISNUMBER(Fikstür!$D$2:$D$39)*ISNUMBER(Fikstür!$E$2:$E$39))</f>
        <v>0</v>
      </c>
      <c r="F7">
        <f t="shared" si="1"/>
        <v>0</v>
      </c>
      <c r="G7">
        <f>SUMIFS(Fikstür!$D$2:$D$39,Fikstür!$G$2:$G$39,6,Fikstür!$E$2:$E$39,"&gt;=0")+SUMIFS(Fikstür!$E$2:$E$39,Fikstür!$H$2:$H$39,6,Fikstür!$D$2:$D$39,"&gt;=0")</f>
        <v>0</v>
      </c>
      <c r="H7">
        <f>SUMIFS(Fikstür!$E$2:$E$39,Fikstür!$G$2:$G$39,6,Fikstür!$D$2:$D$39,"&gt;=0")+SUMIFS(Fikstür!$D$2:$D$39,Fikstür!$H$2:$H$39,6,Fikstür!$E$2:$E$39,"&gt;=0")</f>
        <v>0</v>
      </c>
      <c r="I7">
        <f t="shared" si="2"/>
        <v>0</v>
      </c>
      <c r="J7" s="2">
        <f t="shared" si="3"/>
        <v>0</v>
      </c>
      <c r="K7">
        <f>J7*1000000+I7*10000+G7*100+(12)</f>
        <v>12</v>
      </c>
    </row>
    <row r="8" spans="1:11">
      <c r="A8" s="21">
        <f t="shared" si="0"/>
        <v>7</v>
      </c>
      <c r="B8" s="10" t="str">
        <f>Takımlar!B8</f>
        <v xml:space="preserve">DEFTERDARLIK </v>
      </c>
      <c r="C8">
        <f>SUMPRODUCT((Fikstür!$G$2:$G$39=7)*ISNUMBER(Fikstür!$D$2:$D$39)*ISNUMBER(Fikstür!$E$2:$E$39))+SUMPRODUCT((Fikstür!$H$2:$H$39=7)*ISNUMBER(Fikstür!$D$2:$D$39)*ISNUMBER(Fikstür!$E$2:$E$39))</f>
        <v>0</v>
      </c>
      <c r="D8">
        <f>SUMPRODUCT((Fikstür!$G$2:$G$39=7)*(Fikstür!$D$2:$D$39&gt;Fikstür!$E$2:$E$39)*ISNUMBER(Fikstür!$D$2:$D$39)*ISNUMBER(Fikstür!$E$2:$E$39))+SUMPRODUCT((Fikstür!$H$2:$H$39=7)*(Fikstür!$E$2:$E$39&gt;Fikstür!$D$2:$D$39)*ISNUMBER(Fikstür!$D$2:$D$39)*ISNUMBER(Fikstür!$E$2:$E$39))</f>
        <v>0</v>
      </c>
      <c r="E8">
        <f>SUMPRODUCT(((Fikstür!$G$2:$G$39=7)+(Fikstür!$H$2:$H$39=7))*(Fikstür!$D$2:$D$39=Fikstür!$E$2:$E$39)*ISNUMBER(Fikstür!$D$2:$D$39)*ISNUMBER(Fikstür!$E$2:$E$39))</f>
        <v>0</v>
      </c>
      <c r="F8">
        <f t="shared" si="1"/>
        <v>0</v>
      </c>
      <c r="G8">
        <f>SUMIFS(Fikstür!$D$2:$D$39,Fikstür!$G$2:$G$39,7,Fikstür!$E$2:$E$39,"&gt;=0")+SUMIFS(Fikstür!$E$2:$E$39,Fikstür!$H$2:$H$39,7,Fikstür!$D$2:$D$39,"&gt;=0")</f>
        <v>0</v>
      </c>
      <c r="H8">
        <f>SUMIFS(Fikstür!$E$2:$E$39,Fikstür!$G$2:$G$39,7,Fikstür!$D$2:$D$39,"&gt;=0")+SUMIFS(Fikstür!$D$2:$D$39,Fikstür!$H$2:$H$39,7,Fikstür!$E$2:$E$39,"&gt;=0")</f>
        <v>0</v>
      </c>
      <c r="I8">
        <f t="shared" si="2"/>
        <v>0</v>
      </c>
      <c r="J8" s="2">
        <f t="shared" si="3"/>
        <v>0</v>
      </c>
      <c r="K8">
        <f>J8*1000000+I8*10000+G8*100+(11)</f>
        <v>11</v>
      </c>
    </row>
    <row r="9" spans="1:11">
      <c r="A9" s="21">
        <f t="shared" si="0"/>
        <v>8</v>
      </c>
      <c r="B9" s="11" t="str">
        <f>Takımlar!B9</f>
        <v>KARDEŞÇE</v>
      </c>
      <c r="C9">
        <f>SUMPRODUCT((Fikstür!$G$2:$G$39=8)*ISNUMBER(Fikstür!$D$2:$D$39)*ISNUMBER(Fikstür!$E$2:$E$39))+SUMPRODUCT((Fikstür!$H$2:$H$39=8)*ISNUMBER(Fikstür!$D$2:$D$39)*ISNUMBER(Fikstür!$E$2:$E$39))</f>
        <v>0</v>
      </c>
      <c r="D9">
        <f>SUMPRODUCT((Fikstür!$G$2:$G$39=8)*(Fikstür!$D$2:$D$39&gt;Fikstür!$E$2:$E$39)*ISNUMBER(Fikstür!$D$2:$D$39)*ISNUMBER(Fikstür!$E$2:$E$39))+SUMPRODUCT((Fikstür!$H$2:$H$39=8)*(Fikstür!$E$2:$E$39&gt;Fikstür!$D$2:$D$39)*ISNUMBER(Fikstür!$D$2:$D$39)*ISNUMBER(Fikstür!$E$2:$E$39))</f>
        <v>0</v>
      </c>
      <c r="E9">
        <f>SUMPRODUCT(((Fikstür!$G$2:$G$39=8)+(Fikstür!$H$2:$H$39=8))*(Fikstür!$D$2:$D$39=Fikstür!$E$2:$E$39)*ISNUMBER(Fikstür!$D$2:$D$39)*ISNUMBER(Fikstür!$E$2:$E$39))</f>
        <v>0</v>
      </c>
      <c r="F9">
        <f t="shared" si="1"/>
        <v>0</v>
      </c>
      <c r="G9">
        <f>SUMIFS(Fikstür!$D$2:$D$39,Fikstür!$G$2:$G$39,8,Fikstür!$E$2:$E$39,"&gt;=0")+SUMIFS(Fikstür!$E$2:$E$39,Fikstür!$H$2:$H$39,8,Fikstür!$D$2:$D$39,"&gt;=0")</f>
        <v>0</v>
      </c>
      <c r="H9">
        <f>SUMIFS(Fikstür!$E$2:$E$39,Fikstür!$G$2:$G$39,8,Fikstür!$D$2:$D$39,"&gt;=0")+SUMIFS(Fikstür!$D$2:$D$39,Fikstür!$H$2:$H$39,8,Fikstür!$E$2:$E$39,"&gt;=0")</f>
        <v>0</v>
      </c>
      <c r="I9">
        <f t="shared" si="2"/>
        <v>0</v>
      </c>
      <c r="J9" s="2">
        <f t="shared" si="3"/>
        <v>0</v>
      </c>
      <c r="K9">
        <f>J9*1000000+I9*10000+G9*100+(10)</f>
        <v>10</v>
      </c>
    </row>
    <row r="10" spans="1:11">
      <c r="A10" s="21">
        <f t="shared" si="0"/>
        <v>9</v>
      </c>
      <c r="B10" s="12" t="str">
        <f>Takımlar!B10</f>
        <v>ALL STAR 2026</v>
      </c>
      <c r="C10">
        <f>SUMPRODUCT((Fikstür!$G$2:$G$39=9)*ISNUMBER(Fikstür!$D$2:$D$39)*ISNUMBER(Fikstür!$E$2:$E$39))+SUMPRODUCT((Fikstür!$H$2:$H$39=9)*ISNUMBER(Fikstür!$D$2:$D$39)*ISNUMBER(Fikstür!$E$2:$E$39))</f>
        <v>0</v>
      </c>
      <c r="D10">
        <f>SUMPRODUCT((Fikstür!$G$2:$G$39=9)*(Fikstür!$D$2:$D$39&gt;Fikstür!$E$2:$E$39)*ISNUMBER(Fikstür!$D$2:$D$39)*ISNUMBER(Fikstür!$E$2:$E$39))+SUMPRODUCT((Fikstür!$H$2:$H$39=9)*(Fikstür!$E$2:$E$39&gt;Fikstür!$D$2:$D$39)*ISNUMBER(Fikstür!$D$2:$D$39)*ISNUMBER(Fikstür!$E$2:$E$39))</f>
        <v>0</v>
      </c>
      <c r="E10">
        <f>SUMPRODUCT(((Fikstür!$G$2:$G$39=9)+(Fikstür!$H$2:$H$39=9))*(Fikstür!$D$2:$D$39=Fikstür!$E$2:$E$39)*ISNUMBER(Fikstür!$D$2:$D$39)*ISNUMBER(Fikstür!$E$2:$E$39))</f>
        <v>0</v>
      </c>
      <c r="F10">
        <f t="shared" si="1"/>
        <v>0</v>
      </c>
      <c r="G10">
        <f>SUMIFS(Fikstür!$D$2:$D$39,Fikstür!$G$2:$G$39,9,Fikstür!$E$2:$E$39,"&gt;=0")+SUMIFS(Fikstür!$E$2:$E$39,Fikstür!$H$2:$H$39,9,Fikstür!$D$2:$D$39,"&gt;=0")</f>
        <v>0</v>
      </c>
      <c r="H10">
        <f>SUMIFS(Fikstür!$E$2:$E$39,Fikstür!$G$2:$G$39,9,Fikstür!$D$2:$D$39,"&gt;=0")+SUMIFS(Fikstür!$D$2:$D$39,Fikstür!$H$2:$H$39,9,Fikstür!$E$2:$E$39,"&gt;=0")</f>
        <v>0</v>
      </c>
      <c r="I10">
        <f t="shared" si="2"/>
        <v>0</v>
      </c>
      <c r="J10" s="2">
        <f t="shared" si="3"/>
        <v>0</v>
      </c>
      <c r="K10">
        <f>J10*1000000+I10*10000+G10*100+(9)</f>
        <v>9</v>
      </c>
    </row>
    <row r="11" spans="1:11">
      <c r="A11" s="21">
        <f t="shared" si="0"/>
        <v>10</v>
      </c>
      <c r="B11" s="13" t="str">
        <f>Takımlar!B11</f>
        <v>ETKİN SPOR</v>
      </c>
      <c r="C11">
        <f>SUMPRODUCT((Fikstür!$G$2:$G$39=10)*ISNUMBER(Fikstür!$D$2:$D$39)*ISNUMBER(Fikstür!$E$2:$E$39))+SUMPRODUCT((Fikstür!$H$2:$H$39=10)*ISNUMBER(Fikstür!$D$2:$D$39)*ISNUMBER(Fikstür!$E$2:$E$39))</f>
        <v>0</v>
      </c>
      <c r="D11">
        <f>SUMPRODUCT((Fikstür!$G$2:$G$39=10)*(Fikstür!$D$2:$D$39&gt;Fikstür!$E$2:$E$39)*ISNUMBER(Fikstür!$D$2:$D$39)*ISNUMBER(Fikstür!$E$2:$E$39))+SUMPRODUCT((Fikstür!$H$2:$H$39=10)*(Fikstür!$E$2:$E$39&gt;Fikstür!$D$2:$D$39)*ISNUMBER(Fikstür!$D$2:$D$39)*ISNUMBER(Fikstür!$E$2:$E$39))</f>
        <v>0</v>
      </c>
      <c r="E11">
        <f>SUMPRODUCT(((Fikstür!$G$2:$G$39=10)+(Fikstür!$H$2:$H$39=10))*(Fikstür!$D$2:$D$39=Fikstür!$E$2:$E$39)*ISNUMBER(Fikstür!$D$2:$D$39)*ISNUMBER(Fikstür!$E$2:$E$39))</f>
        <v>0</v>
      </c>
      <c r="F11">
        <f t="shared" si="1"/>
        <v>0</v>
      </c>
      <c r="G11">
        <f>SUMIFS(Fikstür!$D$2:$D$39,Fikstür!$G$2:$G$39,10,Fikstür!$E$2:$E$39,"&gt;=0")+SUMIFS(Fikstür!$E$2:$E$39,Fikstür!$H$2:$H$39,10,Fikstür!$D$2:$D$39,"&gt;=0")</f>
        <v>0</v>
      </c>
      <c r="H11">
        <f>SUMIFS(Fikstür!$E$2:$E$39,Fikstür!$G$2:$G$39,10,Fikstür!$D$2:$D$39,"&gt;=0")+SUMIFS(Fikstür!$D$2:$D$39,Fikstür!$H$2:$H$39,10,Fikstür!$E$2:$E$39,"&gt;=0")</f>
        <v>0</v>
      </c>
      <c r="I11">
        <f t="shared" si="2"/>
        <v>0</v>
      </c>
      <c r="J11" s="2">
        <f t="shared" si="3"/>
        <v>0</v>
      </c>
      <c r="K11">
        <f>J11*1000000+I11*10000+G11*100+(8)</f>
        <v>8</v>
      </c>
    </row>
    <row r="12" spans="1:11">
      <c r="A12" s="21">
        <f t="shared" si="0"/>
        <v>11</v>
      </c>
      <c r="B12" s="14" t="str">
        <f>Takımlar!B12</f>
        <v>FISTIKGÜCÜ</v>
      </c>
      <c r="C12">
        <f>SUMPRODUCT((Fikstür!$G$2:$G$39=11)*ISNUMBER(Fikstür!$D$2:$D$39)*ISNUMBER(Fikstür!$E$2:$E$39))+SUMPRODUCT((Fikstür!$H$2:$H$39=11)*ISNUMBER(Fikstür!$D$2:$D$39)*ISNUMBER(Fikstür!$E$2:$E$39))</f>
        <v>0</v>
      </c>
      <c r="D12">
        <f>SUMPRODUCT((Fikstür!$G$2:$G$39=11)*(Fikstür!$D$2:$D$39&gt;Fikstür!$E$2:$E$39)*ISNUMBER(Fikstür!$D$2:$D$39)*ISNUMBER(Fikstür!$E$2:$E$39))+SUMPRODUCT((Fikstür!$H$2:$H$39=11)*(Fikstür!$E$2:$E$39&gt;Fikstür!$D$2:$D$39)*ISNUMBER(Fikstür!$D$2:$D$39)*ISNUMBER(Fikstür!$E$2:$E$39))</f>
        <v>0</v>
      </c>
      <c r="E12">
        <f>SUMPRODUCT(((Fikstür!$G$2:$G$39=11)+(Fikstür!$H$2:$H$39=11))*(Fikstür!$D$2:$D$39=Fikstür!$E$2:$E$39)*ISNUMBER(Fikstür!$D$2:$D$39)*ISNUMBER(Fikstür!$E$2:$E$39))</f>
        <v>0</v>
      </c>
      <c r="F12">
        <f t="shared" si="1"/>
        <v>0</v>
      </c>
      <c r="G12">
        <f>SUMIFS(Fikstür!$D$2:$D$39,Fikstür!$G$2:$G$39,11,Fikstür!$E$2:$E$39,"&gt;=0")+SUMIFS(Fikstür!$E$2:$E$39,Fikstür!$H$2:$H$39,11,Fikstür!$D$2:$D$39,"&gt;=0")</f>
        <v>0</v>
      </c>
      <c r="H12">
        <f>SUMIFS(Fikstür!$E$2:$E$39,Fikstür!$G$2:$G$39,11,Fikstür!$D$2:$D$39,"&gt;=0")+SUMIFS(Fikstür!$D$2:$D$39,Fikstür!$H$2:$H$39,11,Fikstür!$E$2:$E$39,"&gt;=0")</f>
        <v>0</v>
      </c>
      <c r="I12">
        <f t="shared" si="2"/>
        <v>0</v>
      </c>
      <c r="J12" s="2">
        <f t="shared" si="3"/>
        <v>0</v>
      </c>
      <c r="K12">
        <f>J12*1000000+I12*10000+G12*100+(7)</f>
        <v>7</v>
      </c>
    </row>
    <row r="13" spans="1:11">
      <c r="A13" s="21">
        <f t="shared" si="0"/>
        <v>12</v>
      </c>
      <c r="B13" s="15" t="str">
        <f>Takımlar!B13</f>
        <v>DEFALP DİJİTAL</v>
      </c>
      <c r="C13">
        <f>SUMPRODUCT((Fikstür!$G$2:$G$39=12)*ISNUMBER(Fikstür!$D$2:$D$39)*ISNUMBER(Fikstür!$E$2:$E$39))+SUMPRODUCT((Fikstür!$H$2:$H$39=12)*ISNUMBER(Fikstür!$D$2:$D$39)*ISNUMBER(Fikstür!$E$2:$E$39))</f>
        <v>0</v>
      </c>
      <c r="D13">
        <f>SUMPRODUCT((Fikstür!$G$2:$G$39=12)*(Fikstür!$D$2:$D$39&gt;Fikstür!$E$2:$E$39)*ISNUMBER(Fikstür!$D$2:$D$39)*ISNUMBER(Fikstür!$E$2:$E$39))+SUMPRODUCT((Fikstür!$H$2:$H$39=12)*(Fikstür!$E$2:$E$39&gt;Fikstür!$D$2:$D$39)*ISNUMBER(Fikstür!$D$2:$D$39)*ISNUMBER(Fikstür!$E$2:$E$39))</f>
        <v>0</v>
      </c>
      <c r="E13">
        <f>SUMPRODUCT(((Fikstür!$G$2:$G$39=12)+(Fikstür!$H$2:$H$39=12))*(Fikstür!$D$2:$D$39=Fikstür!$E$2:$E$39)*ISNUMBER(Fikstür!$D$2:$D$39)*ISNUMBER(Fikstür!$E$2:$E$39))</f>
        <v>0</v>
      </c>
      <c r="F13">
        <f t="shared" si="1"/>
        <v>0</v>
      </c>
      <c r="G13">
        <f>SUMIFS(Fikstür!$D$2:$D$39,Fikstür!$G$2:$G$39,12,Fikstür!$E$2:$E$39,"&gt;=0")+SUMIFS(Fikstür!$E$2:$E$39,Fikstür!$H$2:$H$39,12,Fikstür!$D$2:$D$39,"&gt;=0")</f>
        <v>0</v>
      </c>
      <c r="H13">
        <f>SUMIFS(Fikstür!$E$2:$E$39,Fikstür!$G$2:$G$39,12,Fikstür!$D$2:$D$39,"&gt;=0")+SUMIFS(Fikstür!$D$2:$D$39,Fikstür!$H$2:$H$39,12,Fikstür!$E$2:$E$39,"&gt;=0")</f>
        <v>0</v>
      </c>
      <c r="I13">
        <f t="shared" si="2"/>
        <v>0</v>
      </c>
      <c r="J13" s="2">
        <f t="shared" si="3"/>
        <v>0</v>
      </c>
      <c r="K13">
        <f>J13*1000000+I13*10000+G13*100+(6)</f>
        <v>6</v>
      </c>
    </row>
    <row r="14" spans="1:11">
      <c r="A14" s="21">
        <f t="shared" si="0"/>
        <v>13</v>
      </c>
      <c r="B14" s="16" t="str">
        <f>Takımlar!B14</f>
        <v>VDK</v>
      </c>
      <c r="C14">
        <f>SUMPRODUCT((Fikstür!$G$2:$G$39=13)*ISNUMBER(Fikstür!$D$2:$D$39)*ISNUMBER(Fikstür!$E$2:$E$39))+SUMPRODUCT((Fikstür!$H$2:$H$39=13)*ISNUMBER(Fikstür!$D$2:$D$39)*ISNUMBER(Fikstür!$E$2:$E$39))</f>
        <v>0</v>
      </c>
      <c r="D14">
        <f>SUMPRODUCT((Fikstür!$G$2:$G$39=13)*(Fikstür!$D$2:$D$39&gt;Fikstür!$E$2:$E$39)*ISNUMBER(Fikstür!$D$2:$D$39)*ISNUMBER(Fikstür!$E$2:$E$39))+SUMPRODUCT((Fikstür!$H$2:$H$39=13)*(Fikstür!$E$2:$E$39&gt;Fikstür!$D$2:$D$39)*ISNUMBER(Fikstür!$D$2:$D$39)*ISNUMBER(Fikstür!$E$2:$E$39))</f>
        <v>0</v>
      </c>
      <c r="E14">
        <f>SUMPRODUCT(((Fikstür!$G$2:$G$39=13)+(Fikstür!$H$2:$H$39=13))*(Fikstür!$D$2:$D$39=Fikstür!$E$2:$E$39)*ISNUMBER(Fikstür!$D$2:$D$39)*ISNUMBER(Fikstür!$E$2:$E$39))</f>
        <v>0</v>
      </c>
      <c r="F14">
        <f t="shared" si="1"/>
        <v>0</v>
      </c>
      <c r="G14">
        <f>SUMIFS(Fikstür!$D$2:$D$39,Fikstür!$G$2:$G$39,13,Fikstür!$E$2:$E$39,"&gt;=0")+SUMIFS(Fikstür!$E$2:$E$39,Fikstür!$H$2:$H$39,13,Fikstür!$D$2:$D$39,"&gt;=0")</f>
        <v>0</v>
      </c>
      <c r="H14">
        <f>SUMIFS(Fikstür!$E$2:$E$39,Fikstür!$G$2:$G$39,13,Fikstür!$D$2:$D$39,"&gt;=0")+SUMIFS(Fikstür!$D$2:$D$39,Fikstür!$H$2:$H$39,13,Fikstür!$E$2:$E$39,"&gt;=0")</f>
        <v>0</v>
      </c>
      <c r="I14">
        <f t="shared" si="2"/>
        <v>0</v>
      </c>
      <c r="J14" s="2">
        <f t="shared" si="3"/>
        <v>0</v>
      </c>
      <c r="K14">
        <f>J14*1000000+I14*10000+G14*100+(5)</f>
        <v>5</v>
      </c>
    </row>
    <row r="15" spans="1:11">
      <c r="A15" s="21">
        <f t="shared" si="0"/>
        <v>14</v>
      </c>
      <c r="B15" s="17" t="str">
        <f>Takımlar!B15</f>
        <v>GENÇLİK</v>
      </c>
      <c r="C15">
        <f>SUMPRODUCT((Fikstür!$G$2:$G$39=14)*ISNUMBER(Fikstür!$D$2:$D$39)*ISNUMBER(Fikstür!$E$2:$E$39))+SUMPRODUCT((Fikstür!$H$2:$H$39=14)*ISNUMBER(Fikstür!$D$2:$D$39)*ISNUMBER(Fikstür!$E$2:$E$39))</f>
        <v>0</v>
      </c>
      <c r="D15">
        <f>SUMPRODUCT((Fikstür!$G$2:$G$39=14)*(Fikstür!$D$2:$D$39&gt;Fikstür!$E$2:$E$39)*ISNUMBER(Fikstür!$D$2:$D$39)*ISNUMBER(Fikstür!$E$2:$E$39))+SUMPRODUCT((Fikstür!$H$2:$H$39=14)*(Fikstür!$E$2:$E$39&gt;Fikstür!$D$2:$D$39)*ISNUMBER(Fikstür!$D$2:$D$39)*ISNUMBER(Fikstür!$E$2:$E$39))</f>
        <v>0</v>
      </c>
      <c r="E15">
        <f>SUMPRODUCT(((Fikstür!$G$2:$G$39=14)+(Fikstür!$H$2:$H$39=14))*(Fikstür!$D$2:$D$39=Fikstür!$E$2:$E$39)*ISNUMBER(Fikstür!$D$2:$D$39)*ISNUMBER(Fikstür!$E$2:$E$39))</f>
        <v>0</v>
      </c>
      <c r="F15">
        <f t="shared" si="1"/>
        <v>0</v>
      </c>
      <c r="G15">
        <f>SUMIFS(Fikstür!$D$2:$D$39,Fikstür!$G$2:$G$39,14,Fikstür!$E$2:$E$39,"&gt;=0")+SUMIFS(Fikstür!$E$2:$E$39,Fikstür!$H$2:$H$39,14,Fikstür!$D$2:$D$39,"&gt;=0")</f>
        <v>0</v>
      </c>
      <c r="H15">
        <f>SUMIFS(Fikstür!$E$2:$E$39,Fikstür!$G$2:$G$39,14,Fikstür!$D$2:$D$39,"&gt;=0")+SUMIFS(Fikstür!$D$2:$D$39,Fikstür!$H$2:$H$39,14,Fikstür!$E$2:$E$39,"&gt;=0")</f>
        <v>0</v>
      </c>
      <c r="I15">
        <f t="shared" si="2"/>
        <v>0</v>
      </c>
      <c r="J15" s="2">
        <f t="shared" si="3"/>
        <v>0</v>
      </c>
      <c r="K15">
        <f>J15*1000000+I15*10000+G15*100+(4)</f>
        <v>4</v>
      </c>
    </row>
    <row r="16" spans="1:11">
      <c r="A16" s="21">
        <f t="shared" si="0"/>
        <v>15</v>
      </c>
      <c r="B16" s="18" t="str">
        <f>Takımlar!B16</f>
        <v>MÜŞAVİRLER F.C.</v>
      </c>
      <c r="C16">
        <f>SUMPRODUCT((Fikstür!$G$2:$G$39=15)*ISNUMBER(Fikstür!$D$2:$D$39)*ISNUMBER(Fikstür!$E$2:$E$39))+SUMPRODUCT((Fikstür!$H$2:$H$39=15)*ISNUMBER(Fikstür!$D$2:$D$39)*ISNUMBER(Fikstür!$E$2:$E$39))</f>
        <v>0</v>
      </c>
      <c r="D16">
        <f>SUMPRODUCT((Fikstür!$G$2:$G$39=15)*(Fikstür!$D$2:$D$39&gt;Fikstür!$E$2:$E$39)*ISNUMBER(Fikstür!$D$2:$D$39)*ISNUMBER(Fikstür!$E$2:$E$39))+SUMPRODUCT((Fikstür!$H$2:$H$39=15)*(Fikstür!$E$2:$E$39&gt;Fikstür!$D$2:$D$39)*ISNUMBER(Fikstür!$D$2:$D$39)*ISNUMBER(Fikstür!$E$2:$E$39))</f>
        <v>0</v>
      </c>
      <c r="E16">
        <f>SUMPRODUCT(((Fikstür!$G$2:$G$39=15)+(Fikstür!$H$2:$H$39=15))*(Fikstür!$D$2:$D$39=Fikstür!$E$2:$E$39)*ISNUMBER(Fikstür!$D$2:$D$39)*ISNUMBER(Fikstür!$E$2:$E$39))</f>
        <v>0</v>
      </c>
      <c r="F16">
        <f t="shared" si="1"/>
        <v>0</v>
      </c>
      <c r="G16">
        <f>SUMIFS(Fikstür!$D$2:$D$39,Fikstür!$G$2:$G$39,15,Fikstür!$E$2:$E$39,"&gt;=0")+SUMIFS(Fikstür!$E$2:$E$39,Fikstür!$H$2:$H$39,15,Fikstür!$D$2:$D$39,"&gt;=0")</f>
        <v>0</v>
      </c>
      <c r="H16">
        <f>SUMIFS(Fikstür!$E$2:$E$39,Fikstür!$G$2:$G$39,15,Fikstür!$D$2:$D$39,"&gt;=0")+SUMIFS(Fikstür!$D$2:$D$39,Fikstür!$H$2:$H$39,15,Fikstür!$E$2:$E$39,"&gt;=0")</f>
        <v>0</v>
      </c>
      <c r="I16">
        <f t="shared" si="2"/>
        <v>0</v>
      </c>
      <c r="J16" s="2">
        <f t="shared" si="3"/>
        <v>0</v>
      </c>
      <c r="K16">
        <f>J16*1000000+I16*10000+G16*100+(3)</f>
        <v>3</v>
      </c>
    </row>
    <row r="17" spans="1:11">
      <c r="A17" s="21">
        <f t="shared" si="0"/>
        <v>16</v>
      </c>
      <c r="B17" s="19" t="str">
        <f>Takımlar!B17</f>
        <v>SGK</v>
      </c>
      <c r="C17">
        <f>SUMPRODUCT((Fikstür!$G$2:$G$39=16)*ISNUMBER(Fikstür!$D$2:$D$39)*ISNUMBER(Fikstür!$E$2:$E$39))+SUMPRODUCT((Fikstür!$H$2:$H$39=16)*ISNUMBER(Fikstür!$D$2:$D$39)*ISNUMBER(Fikstür!$E$2:$E$39))</f>
        <v>0</v>
      </c>
      <c r="D17">
        <f>SUMPRODUCT((Fikstür!$G$2:$G$39=16)*(Fikstür!$D$2:$D$39&gt;Fikstür!$E$2:$E$39)*ISNUMBER(Fikstür!$D$2:$D$39)*ISNUMBER(Fikstür!$E$2:$E$39))+SUMPRODUCT((Fikstür!$H$2:$H$39=16)*(Fikstür!$E$2:$E$39&gt;Fikstür!$D$2:$D$39)*ISNUMBER(Fikstür!$D$2:$D$39)*ISNUMBER(Fikstür!$E$2:$E$39))</f>
        <v>0</v>
      </c>
      <c r="E17">
        <f>SUMPRODUCT(((Fikstür!$G$2:$G$39=16)+(Fikstür!$H$2:$H$39=16))*(Fikstür!$D$2:$D$39=Fikstür!$E$2:$E$39)*ISNUMBER(Fikstür!$D$2:$D$39)*ISNUMBER(Fikstür!$E$2:$E$39))</f>
        <v>0</v>
      </c>
      <c r="F17">
        <f t="shared" si="1"/>
        <v>0</v>
      </c>
      <c r="G17">
        <f>SUMIFS(Fikstür!$D$2:$D$39,Fikstür!$G$2:$G$39,16,Fikstür!$E$2:$E$39,"&gt;=0")+SUMIFS(Fikstür!$E$2:$E$39,Fikstür!$H$2:$H$39,16,Fikstür!$D$2:$D$39,"&gt;=0")</f>
        <v>0</v>
      </c>
      <c r="H17">
        <f>SUMIFS(Fikstür!$E$2:$E$39,Fikstür!$G$2:$G$39,16,Fikstür!$D$2:$D$39,"&gt;=0")+SUMIFS(Fikstür!$D$2:$D$39,Fikstür!$H$2:$H$39,16,Fikstür!$E$2:$E$39,"&gt;=0")</f>
        <v>0</v>
      </c>
      <c r="I17">
        <f t="shared" si="2"/>
        <v>0</v>
      </c>
      <c r="J17" s="2">
        <f t="shared" si="3"/>
        <v>0</v>
      </c>
      <c r="K17">
        <f>J17*1000000+I17*10000+G17*100+(2)</f>
        <v>2</v>
      </c>
    </row>
    <row r="18" spans="1:11">
      <c r="A18" s="21">
        <f t="shared" si="0"/>
        <v>17</v>
      </c>
      <c r="B18" s="20" t="str">
        <f>Takımlar!B18</f>
        <v>İŞKUR</v>
      </c>
      <c r="C18">
        <f>SUMPRODUCT((Fikstür!$G$2:$G$39=17)*ISNUMBER(Fikstür!$D$2:$D$39)*ISNUMBER(Fikstür!$E$2:$E$39))+SUMPRODUCT((Fikstür!$H$2:$H$39=17)*ISNUMBER(Fikstür!$D$2:$D$39)*ISNUMBER(Fikstür!$E$2:$E$39))</f>
        <v>0</v>
      </c>
      <c r="D18">
        <f>SUMPRODUCT((Fikstür!$G$2:$G$39=17)*(Fikstür!$D$2:$D$39&gt;Fikstür!$E$2:$E$39)*ISNUMBER(Fikstür!$D$2:$D$39)*ISNUMBER(Fikstür!$E$2:$E$39))+SUMPRODUCT((Fikstür!$H$2:$H$39=17)*(Fikstür!$E$2:$E$39&gt;Fikstür!$D$2:$D$39)*ISNUMBER(Fikstür!$D$2:$D$39)*ISNUMBER(Fikstür!$E$2:$E$39))</f>
        <v>0</v>
      </c>
      <c r="E18">
        <f>SUMPRODUCT(((Fikstür!$G$2:$G$39=17)+(Fikstür!$H$2:$H$39=17))*(Fikstür!$D$2:$D$39=Fikstür!$E$2:$E$39)*ISNUMBER(Fikstür!$D$2:$D$39)*ISNUMBER(Fikstür!$E$2:$E$39))</f>
        <v>0</v>
      </c>
      <c r="F18">
        <f t="shared" si="1"/>
        <v>0</v>
      </c>
      <c r="G18">
        <f>SUMIFS(Fikstür!$D$2:$D$39,Fikstür!$G$2:$G$39,17,Fikstür!$E$2:$E$39,"&gt;=0")+SUMIFS(Fikstür!$E$2:$E$39,Fikstür!$H$2:$H$39,17,Fikstür!$D$2:$D$39,"&gt;=0")</f>
        <v>0</v>
      </c>
      <c r="H18">
        <f>SUMIFS(Fikstür!$E$2:$E$39,Fikstür!$G$2:$G$39,17,Fikstür!$D$2:$D$39,"&gt;=0")+SUMIFS(Fikstür!$D$2:$D$39,Fikstür!$H$2:$H$39,17,Fikstür!$E$2:$E$39,"&gt;=0")</f>
        <v>0</v>
      </c>
      <c r="I18">
        <f t="shared" si="2"/>
        <v>0</v>
      </c>
      <c r="J18" s="2">
        <f t="shared" si="3"/>
        <v>0</v>
      </c>
      <c r="K18">
        <f>J18*1000000+I18*10000+G18*100+(1)</f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pane ySplit="1" topLeftCell="A2" activePane="bottomLeft" state="frozen"/>
      <selection pane="bottomLeft" activeCell="D9" sqref="C2:D9"/>
    </sheetView>
  </sheetViews>
  <sheetFormatPr defaultRowHeight="13.8"/>
  <cols>
    <col min="1" max="1" width="10" customWidth="1"/>
    <col min="2" max="2" width="28" customWidth="1"/>
    <col min="3" max="4" width="6.8984375" style="21" customWidth="1"/>
    <col min="5" max="5" width="28" customWidth="1"/>
    <col min="6" max="6" width="8.5" style="21" customWidth="1"/>
    <col min="7" max="7" width="13.296875" customWidth="1"/>
  </cols>
  <sheetData>
    <row r="1" spans="1:7" s="23" customFormat="1" ht="30" customHeight="1">
      <c r="A1" s="70" t="s">
        <v>20</v>
      </c>
      <c r="B1" s="70" t="s">
        <v>21</v>
      </c>
      <c r="C1" s="71" t="s">
        <v>42</v>
      </c>
      <c r="D1" s="71" t="s">
        <v>43</v>
      </c>
      <c r="E1" s="70" t="s">
        <v>24</v>
      </c>
      <c r="F1" s="70" t="s">
        <v>27</v>
      </c>
      <c r="G1" s="71" t="s">
        <v>44</v>
      </c>
    </row>
    <row r="2" spans="1:7">
      <c r="A2">
        <v>1</v>
      </c>
      <c r="B2" s="48" t="str">
        <f>Fikstür!C2</f>
        <v>REFORM ANALİZ</v>
      </c>
      <c r="E2" s="49" t="str">
        <f>Fikstür!F2</f>
        <v>MÜŞAVİRLER F.C.</v>
      </c>
      <c r="F2" s="21">
        <f>Fikstür!I2</f>
        <v>2</v>
      </c>
      <c r="G2" t="str">
        <f>Fikstür!J2</f>
        <v>18:00 - 19:00</v>
      </c>
    </row>
    <row r="3" spans="1:7">
      <c r="A3">
        <v>2</v>
      </c>
      <c r="B3" s="50" t="str">
        <f>Fikstür!C3</f>
        <v>DEFALP DİJİTAL</v>
      </c>
      <c r="E3" s="51" t="str">
        <f>Fikstür!F3</f>
        <v>ÖMRÜMÜZÜN  SON DEMİ</v>
      </c>
      <c r="F3" s="21">
        <f>Fikstür!I3</f>
        <v>3</v>
      </c>
      <c r="G3" t="str">
        <f>Fikstür!J3</f>
        <v>18:00 - 19:00</v>
      </c>
    </row>
    <row r="4" spans="1:7">
      <c r="A4">
        <v>3</v>
      </c>
      <c r="B4" s="52" t="str">
        <f>Fikstür!C4</f>
        <v>KİLİS</v>
      </c>
      <c r="E4" s="53" t="str">
        <f>Fikstür!F4</f>
        <v>ANKA</v>
      </c>
      <c r="F4" s="21">
        <f>Fikstür!I4</f>
        <v>3</v>
      </c>
      <c r="G4" t="str">
        <f>Fikstür!J4</f>
        <v>17:00 - 18:00</v>
      </c>
    </row>
    <row r="5" spans="1:7">
      <c r="A5">
        <v>4</v>
      </c>
      <c r="B5" s="54" t="str">
        <f>Fikstür!C5</f>
        <v>ETKİN SPOR</v>
      </c>
      <c r="E5" s="55" t="str">
        <f>Fikstür!F5</f>
        <v>KARDEŞÇE</v>
      </c>
      <c r="F5" s="21">
        <f>Fikstür!I5</f>
        <v>1</v>
      </c>
      <c r="G5" t="str">
        <f>Fikstür!J5</f>
        <v>18:00 - 19:00</v>
      </c>
    </row>
    <row r="6" spans="1:7">
      <c r="A6">
        <v>5</v>
      </c>
      <c r="B6" s="56" t="str">
        <f>Fikstür!C6</f>
        <v xml:space="preserve">DEFTERDARLIK </v>
      </c>
      <c r="E6" s="57" t="str">
        <f>Fikstür!F6</f>
        <v>VDK</v>
      </c>
      <c r="F6" s="21">
        <f>Fikstür!I6</f>
        <v>1</v>
      </c>
      <c r="G6" t="str">
        <f>Fikstür!J6</f>
        <v>17:00 - 18:00</v>
      </c>
    </row>
    <row r="7" spans="1:7">
      <c r="A7">
        <v>6</v>
      </c>
      <c r="B7" s="58" t="str">
        <f>Fikstür!C7</f>
        <v>İŞKUR</v>
      </c>
      <c r="E7" s="59" t="str">
        <f>Fikstür!F7</f>
        <v>SGK</v>
      </c>
      <c r="F7" s="21">
        <f>Fikstür!I7</f>
        <v>2</v>
      </c>
      <c r="G7" t="str">
        <f>Fikstür!J7</f>
        <v>17:00 - 18:00</v>
      </c>
    </row>
    <row r="8" spans="1:7">
      <c r="A8">
        <v>7</v>
      </c>
      <c r="B8" s="60" t="str">
        <f>Fikstür!C8</f>
        <v>MERCAN</v>
      </c>
      <c r="E8" s="61" t="str">
        <f>Fikstür!F8</f>
        <v>ALL STAR 2026</v>
      </c>
      <c r="F8" s="21">
        <f>Fikstür!I8</f>
        <v>1</v>
      </c>
      <c r="G8" t="str">
        <f>Fikstür!J8</f>
        <v>19:00 - 20:00</v>
      </c>
    </row>
    <row r="9" spans="1:7">
      <c r="A9">
        <v>8</v>
      </c>
      <c r="B9" s="62" t="str">
        <f>Fikstür!C9</f>
        <v>GENÇLİK</v>
      </c>
      <c r="E9" s="63" t="str">
        <f>Fikstür!F9</f>
        <v>FISTIKGÜCÜ</v>
      </c>
      <c r="F9" s="21">
        <f>Fikstür!I9</f>
        <v>2</v>
      </c>
      <c r="G9" t="str">
        <f>Fikstür!J9</f>
        <v>19:00 - 20:00</v>
      </c>
    </row>
    <row r="11" spans="1:7">
      <c r="A11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pane ySplit="1" topLeftCell="A2" activePane="bottomLeft" state="frozen"/>
      <selection pane="bottomLeft" activeCell="A16" sqref="A16"/>
    </sheetView>
  </sheetViews>
  <sheetFormatPr defaultRowHeight="13.8"/>
  <cols>
    <col min="1" max="1" width="8.19921875" customWidth="1"/>
    <col min="2" max="2" width="28" customWidth="1"/>
    <col min="3" max="4" width="12" style="23" customWidth="1"/>
    <col min="5" max="5" width="28" customWidth="1"/>
    <col min="6" max="6" width="11.3984375" style="21" customWidth="1"/>
    <col min="7" max="7" width="14.09765625" customWidth="1"/>
  </cols>
  <sheetData>
    <row r="1" spans="1:7" s="23" customFormat="1" ht="30" customHeight="1">
      <c r="A1" s="70" t="s">
        <v>20</v>
      </c>
      <c r="B1" s="70" t="s">
        <v>21</v>
      </c>
      <c r="C1" s="70" t="s">
        <v>42</v>
      </c>
      <c r="D1" s="70" t="s">
        <v>43</v>
      </c>
      <c r="E1" s="70" t="s">
        <v>24</v>
      </c>
      <c r="F1" s="70" t="s">
        <v>27</v>
      </c>
      <c r="G1" s="71" t="s">
        <v>46</v>
      </c>
    </row>
    <row r="2" spans="1:7">
      <c r="A2" s="21">
        <v>1</v>
      </c>
      <c r="B2" s="49" t="str">
        <f>Fikstür!C11</f>
        <v>MÜŞAVİRLER F.C.</v>
      </c>
      <c r="E2" s="56" t="str">
        <f>Fikstür!F11</f>
        <v xml:space="preserve">DEFTERDARLIK </v>
      </c>
      <c r="F2" s="21">
        <f>Fikstür!I11</f>
        <v>2</v>
      </c>
      <c r="G2" t="str">
        <f>Fikstür!J11</f>
        <v>17:00 - 18:00</v>
      </c>
    </row>
    <row r="3" spans="1:7">
      <c r="A3" s="21">
        <v>2</v>
      </c>
      <c r="B3" s="64" t="str">
        <f>Fikstür!C12</f>
        <v>ÇINAR</v>
      </c>
      <c r="E3" s="51" t="str">
        <f>Fikstür!F12</f>
        <v>ÖMRÜMÜZÜN  SON DEMİ</v>
      </c>
      <c r="F3" s="21">
        <f>Fikstür!I12</f>
        <v>3</v>
      </c>
      <c r="G3" t="str">
        <f>Fikstür!J12</f>
        <v>17:00 - 18:00</v>
      </c>
    </row>
    <row r="4" spans="1:7">
      <c r="A4" s="21">
        <v>3</v>
      </c>
      <c r="B4" s="50" t="str">
        <f>Fikstür!C13</f>
        <v>DEFALP DİJİTAL</v>
      </c>
      <c r="E4" s="52" t="str">
        <f>Fikstür!F13</f>
        <v>KİLİS</v>
      </c>
      <c r="F4" s="21">
        <f>Fikstür!I13</f>
        <v>1</v>
      </c>
      <c r="G4" t="str">
        <f>Fikstür!J13</f>
        <v>17:00 - 18:00</v>
      </c>
    </row>
    <row r="5" spans="1:7">
      <c r="A5" s="21">
        <v>4</v>
      </c>
      <c r="B5" s="54" t="str">
        <f>Fikstür!C14</f>
        <v>ETKİN SPOR</v>
      </c>
      <c r="E5" s="57" t="str">
        <f>Fikstür!F14</f>
        <v>VDK</v>
      </c>
      <c r="F5" s="21">
        <f>Fikstür!I14</f>
        <v>2</v>
      </c>
      <c r="G5" t="str">
        <f>Fikstür!J14</f>
        <v>18:00 - 19:00</v>
      </c>
    </row>
    <row r="6" spans="1:7">
      <c r="A6" s="21">
        <v>5</v>
      </c>
      <c r="B6" s="63" t="str">
        <f>Fikstür!C15</f>
        <v>FISTIKGÜCÜ</v>
      </c>
      <c r="E6" s="53" t="str">
        <f>Fikstür!F15</f>
        <v>ANKA</v>
      </c>
      <c r="F6" s="21">
        <f>Fikstür!I15</f>
        <v>1</v>
      </c>
      <c r="G6" t="str">
        <f>Fikstür!J15</f>
        <v>18:00 - 19:00</v>
      </c>
    </row>
    <row r="7" spans="1:7">
      <c r="A7" s="21">
        <v>6</v>
      </c>
      <c r="B7" s="48" t="str">
        <f>Fikstür!C16</f>
        <v>REFORM ANALİZ</v>
      </c>
      <c r="E7" s="55" t="str">
        <f>Fikstür!F16</f>
        <v>KARDEŞÇE</v>
      </c>
      <c r="F7" s="21">
        <f>Fikstür!I16</f>
        <v>2</v>
      </c>
      <c r="G7" t="str">
        <f>Fikstür!J16</f>
        <v>19:00 - 20:00</v>
      </c>
    </row>
    <row r="8" spans="1:7">
      <c r="A8" s="21">
        <v>7</v>
      </c>
      <c r="B8" s="59" t="str">
        <f>Fikstür!C17</f>
        <v>SGK</v>
      </c>
      <c r="E8" s="61" t="str">
        <f>Fikstür!F17</f>
        <v>ALL STAR 2026</v>
      </c>
      <c r="F8" s="21">
        <f>Fikstür!I17</f>
        <v>3</v>
      </c>
      <c r="G8" t="str">
        <f>Fikstür!J17</f>
        <v>18:00 - 19:00</v>
      </c>
    </row>
    <row r="9" spans="1:7">
      <c r="A9" s="21">
        <v>8</v>
      </c>
      <c r="B9" s="62" t="str">
        <f>Fikstür!C18</f>
        <v>GENÇLİK</v>
      </c>
      <c r="E9" s="58" t="str">
        <f>Fikstür!F18</f>
        <v>İŞKUR</v>
      </c>
      <c r="F9" s="21">
        <f>Fikstür!I18</f>
        <v>1</v>
      </c>
      <c r="G9" t="str">
        <f>Fikstür!J18</f>
        <v>19:00 - 20:00</v>
      </c>
    </row>
    <row r="11" spans="1:7">
      <c r="A11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>
      <pane ySplit="1" topLeftCell="A2" activePane="bottomLeft" state="frozen"/>
      <selection pane="bottomLeft" activeCell="C2" sqref="C2:D9"/>
    </sheetView>
  </sheetViews>
  <sheetFormatPr defaultRowHeight="13.8"/>
  <cols>
    <col min="1" max="1" width="10" style="23" customWidth="1"/>
    <col min="2" max="2" width="28" customWidth="1"/>
    <col min="3" max="4" width="9.19921875" style="23" customWidth="1"/>
    <col min="5" max="5" width="28" customWidth="1"/>
    <col min="6" max="6" width="7.296875" style="23" customWidth="1"/>
    <col min="7" max="7" width="12.59765625" customWidth="1"/>
  </cols>
  <sheetData>
    <row r="1" spans="1:7" s="23" customFormat="1" ht="30" customHeight="1">
      <c r="A1" s="70" t="s">
        <v>20</v>
      </c>
      <c r="B1" s="70" t="s">
        <v>21</v>
      </c>
      <c r="C1" s="70" t="s">
        <v>42</v>
      </c>
      <c r="D1" s="70" t="s">
        <v>43</v>
      </c>
      <c r="E1" s="70" t="s">
        <v>24</v>
      </c>
      <c r="F1" s="70" t="s">
        <v>27</v>
      </c>
      <c r="G1" s="71" t="s">
        <v>47</v>
      </c>
    </row>
    <row r="2" spans="1:7">
      <c r="A2" s="23">
        <v>1</v>
      </c>
      <c r="B2" s="56" t="str">
        <f>Fikstür!C20</f>
        <v xml:space="preserve">DEFTERDARLIK </v>
      </c>
      <c r="E2" s="50" t="str">
        <f>Fikstür!F20</f>
        <v>DEFALP DİJİTAL</v>
      </c>
      <c r="F2" s="23">
        <f>Fikstür!I20</f>
        <v>1</v>
      </c>
      <c r="G2" t="str">
        <f>Fikstür!J20</f>
        <v>18:00 - 19:00</v>
      </c>
    </row>
    <row r="3" spans="1:7">
      <c r="A3" s="23">
        <v>2</v>
      </c>
      <c r="B3" s="54" t="str">
        <f>Fikstür!C21</f>
        <v>ETKİN SPOR</v>
      </c>
      <c r="E3" s="48" t="str">
        <f>Fikstür!F21</f>
        <v>REFORM ANALİZ</v>
      </c>
      <c r="F3" s="23">
        <f>Fikstür!I21</f>
        <v>1</v>
      </c>
      <c r="G3" t="str">
        <f>Fikstür!J21</f>
        <v>19:00 - 20:00</v>
      </c>
    </row>
    <row r="4" spans="1:7">
      <c r="A4" s="23">
        <v>3</v>
      </c>
      <c r="B4" s="60" t="str">
        <f>Fikstür!C22</f>
        <v>MERCAN</v>
      </c>
      <c r="E4" s="53" t="str">
        <f>Fikstür!F22</f>
        <v>ANKA</v>
      </c>
      <c r="F4" s="23">
        <f>Fikstür!I22</f>
        <v>1</v>
      </c>
      <c r="G4" t="str">
        <f>Fikstür!J22</f>
        <v>17:00 - 18:00</v>
      </c>
    </row>
    <row r="5" spans="1:7">
      <c r="A5" s="23">
        <v>4</v>
      </c>
      <c r="B5" s="59" t="str">
        <f>Fikstür!C23</f>
        <v>SGK</v>
      </c>
      <c r="E5" s="63" t="str">
        <f>Fikstür!F23</f>
        <v>FISTIKGÜCÜ</v>
      </c>
      <c r="F5" s="23">
        <f>Fikstür!I23</f>
        <v>2</v>
      </c>
      <c r="G5" t="str">
        <f>Fikstür!J23</f>
        <v>18:00 - 19:00</v>
      </c>
    </row>
    <row r="6" spans="1:7">
      <c r="A6" s="23">
        <v>5</v>
      </c>
      <c r="B6" s="64" t="str">
        <f>Fikstür!C24</f>
        <v>ÇINAR</v>
      </c>
      <c r="E6" s="49" t="str">
        <f>Fikstür!F24</f>
        <v>MÜŞAVİRLER F.C.</v>
      </c>
      <c r="F6" s="23">
        <f>Fikstür!I24</f>
        <v>3</v>
      </c>
      <c r="G6" t="str">
        <f>Fikstür!J24</f>
        <v>18:00 - 19:00</v>
      </c>
    </row>
    <row r="7" spans="1:7">
      <c r="A7" s="23">
        <v>6</v>
      </c>
      <c r="B7" s="62" t="str">
        <f>Fikstür!C25</f>
        <v>GENÇLİK</v>
      </c>
      <c r="E7" s="55" t="str">
        <f>Fikstür!F25</f>
        <v>KARDEŞÇE</v>
      </c>
      <c r="F7" s="23">
        <f>Fikstür!I25</f>
        <v>2</v>
      </c>
      <c r="G7" t="str">
        <f>Fikstür!J25</f>
        <v>17:00 - 18:00</v>
      </c>
    </row>
    <row r="8" spans="1:7">
      <c r="A8" s="23">
        <v>7</v>
      </c>
      <c r="B8" s="52" t="str">
        <f>Fikstür!C26</f>
        <v>KİLİS</v>
      </c>
      <c r="E8" s="51" t="str">
        <f>Fikstür!F26</f>
        <v>ÖMRÜMÜZÜN  SON DEMİ</v>
      </c>
      <c r="F8" s="23">
        <f>Fikstür!I26</f>
        <v>3</v>
      </c>
      <c r="G8" t="str">
        <f>Fikstür!J26</f>
        <v>17:00 - 18:00</v>
      </c>
    </row>
    <row r="11" spans="1:7">
      <c r="A11" s="75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"/>
  <sheetViews>
    <sheetView workbookViewId="0">
      <pane ySplit="1" topLeftCell="A2" activePane="bottomLeft" state="frozen"/>
      <selection pane="bottomLeft" activeCell="C2" sqref="C2:D7"/>
    </sheetView>
  </sheetViews>
  <sheetFormatPr defaultRowHeight="13.8"/>
  <cols>
    <col min="1" max="1" width="10" style="23" customWidth="1"/>
    <col min="2" max="2" width="28" customWidth="1"/>
    <col min="3" max="3" width="7.796875" style="23" customWidth="1"/>
    <col min="4" max="4" width="9" style="23" customWidth="1"/>
    <col min="5" max="5" width="28" customWidth="1"/>
    <col min="6" max="6" width="8.59765625" style="23" customWidth="1"/>
    <col min="7" max="7" width="15.09765625" customWidth="1"/>
  </cols>
  <sheetData>
    <row r="1" spans="1:7" s="23" customFormat="1" ht="30" customHeight="1">
      <c r="A1" s="70" t="s">
        <v>20</v>
      </c>
      <c r="B1" s="70" t="s">
        <v>21</v>
      </c>
      <c r="C1" s="70" t="s">
        <v>42</v>
      </c>
      <c r="D1" s="70" t="s">
        <v>43</v>
      </c>
      <c r="E1" s="70" t="s">
        <v>24</v>
      </c>
      <c r="F1" s="70" t="s">
        <v>27</v>
      </c>
      <c r="G1" s="71" t="s">
        <v>48</v>
      </c>
    </row>
    <row r="2" spans="1:7">
      <c r="A2" s="23">
        <v>1</v>
      </c>
      <c r="B2" s="56" t="str">
        <f>Fikstür!C28</f>
        <v xml:space="preserve">DEFTERDARLIK </v>
      </c>
      <c r="E2" s="64" t="str">
        <f>Fikstür!F28</f>
        <v>ÇINAR</v>
      </c>
      <c r="F2" s="23">
        <f>Fikstür!I28</f>
        <v>1</v>
      </c>
      <c r="G2" t="str">
        <f>Fikstür!J28</f>
        <v>17:00 - 18:00</v>
      </c>
    </row>
    <row r="3" spans="1:7">
      <c r="A3" s="23">
        <v>2</v>
      </c>
      <c r="B3" s="54" t="str">
        <f>Fikstür!C29</f>
        <v>ETKİN SPOR</v>
      </c>
      <c r="E3" s="58" t="str">
        <f>Fikstür!F29</f>
        <v>İŞKUR</v>
      </c>
      <c r="F3" s="23">
        <f>Fikstür!I29</f>
        <v>2</v>
      </c>
      <c r="G3" t="str">
        <f>Fikstür!J29</f>
        <v>17:00 - 18:00</v>
      </c>
    </row>
    <row r="4" spans="1:7">
      <c r="A4" s="23">
        <v>3</v>
      </c>
      <c r="B4" s="60" t="str">
        <f>Fikstür!C30</f>
        <v>MERCAN</v>
      </c>
      <c r="E4" s="52" t="str">
        <f>Fikstür!F30</f>
        <v>KİLİS</v>
      </c>
      <c r="F4" s="23">
        <f>Fikstür!I30</f>
        <v>3</v>
      </c>
      <c r="G4" t="str">
        <f>Fikstür!J30</f>
        <v>17:00 - 18:00</v>
      </c>
    </row>
    <row r="5" spans="1:7">
      <c r="A5" s="23">
        <v>4</v>
      </c>
      <c r="B5" s="48" t="str">
        <f>Fikstür!C31</f>
        <v>REFORM ANALİZ</v>
      </c>
      <c r="E5" s="57" t="str">
        <f>Fikstür!F31</f>
        <v>VDK</v>
      </c>
      <c r="F5" s="23">
        <f>Fikstür!I31</f>
        <v>1</v>
      </c>
      <c r="G5" t="str">
        <f>Fikstür!J31</f>
        <v>18:00 - 19:00</v>
      </c>
    </row>
    <row r="6" spans="1:7">
      <c r="A6" s="23">
        <v>5</v>
      </c>
      <c r="B6" s="59" t="str">
        <f>Fikstür!C32</f>
        <v>SGK</v>
      </c>
      <c r="E6" s="62" t="str">
        <f>Fikstür!F32</f>
        <v>GENÇLİK</v>
      </c>
      <c r="F6" s="23">
        <f>Fikstür!I32</f>
        <v>3</v>
      </c>
      <c r="G6" t="str">
        <f>Fikstür!J32</f>
        <v>18:00 - 19:00</v>
      </c>
    </row>
    <row r="7" spans="1:7">
      <c r="A7" s="23">
        <v>6</v>
      </c>
      <c r="B7" s="53" t="str">
        <f>Fikstür!C33</f>
        <v>ANKA</v>
      </c>
      <c r="E7" s="61" t="str">
        <f>Fikstür!F33</f>
        <v>ALL STAR 2026</v>
      </c>
      <c r="F7" s="23">
        <f>Fikstür!I33</f>
        <v>2</v>
      </c>
      <c r="G7" t="str">
        <f>Fikstür!J33</f>
        <v>18:00 - 19:00</v>
      </c>
    </row>
    <row r="11" spans="1:7">
      <c r="A11" s="75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"/>
  <sheetViews>
    <sheetView workbookViewId="0">
      <pane ySplit="1" topLeftCell="A2" activePane="bottomLeft" state="frozen"/>
      <selection pane="bottomLeft" activeCell="D12" sqref="D12"/>
    </sheetView>
  </sheetViews>
  <sheetFormatPr defaultRowHeight="13.8"/>
  <cols>
    <col min="1" max="1" width="8.69921875" customWidth="1"/>
    <col min="2" max="2" width="28" customWidth="1"/>
    <col min="3" max="4" width="10.296875" customWidth="1"/>
    <col min="5" max="5" width="28" customWidth="1"/>
    <col min="6" max="6" width="8.8984375" style="23" customWidth="1"/>
    <col min="7" max="7" width="15.09765625" customWidth="1"/>
  </cols>
  <sheetData>
    <row r="1" spans="1:7" s="23" customFormat="1" ht="30" customHeight="1">
      <c r="A1" s="70" t="s">
        <v>20</v>
      </c>
      <c r="B1" s="70" t="s">
        <v>21</v>
      </c>
      <c r="C1" s="70" t="s">
        <v>42</v>
      </c>
      <c r="D1" s="70" t="s">
        <v>43</v>
      </c>
      <c r="E1" s="70" t="s">
        <v>24</v>
      </c>
      <c r="F1" s="70" t="s">
        <v>27</v>
      </c>
      <c r="G1" s="71" t="s">
        <v>49</v>
      </c>
    </row>
    <row r="2" spans="1:7">
      <c r="A2" s="23">
        <v>1</v>
      </c>
      <c r="B2" s="51" t="str">
        <f>Fikstür!C35</f>
        <v>ÖMRÜMÜZÜN  SON DEMİ</v>
      </c>
      <c r="C2" s="21"/>
      <c r="D2" s="21"/>
      <c r="E2" s="60" t="str">
        <f>Fikstür!F35</f>
        <v>MERCAN</v>
      </c>
      <c r="F2" s="23">
        <f>Fikstür!I35</f>
        <v>1</v>
      </c>
      <c r="G2" t="str">
        <f>Fikstür!J35</f>
        <v>17:00 - 18:00</v>
      </c>
    </row>
    <row r="3" spans="1:7">
      <c r="A3" s="23">
        <v>2</v>
      </c>
      <c r="B3" s="49" t="str">
        <f>Fikstür!C36</f>
        <v>MÜŞAVİRLER F.C.</v>
      </c>
      <c r="C3" s="21"/>
      <c r="D3" s="21"/>
      <c r="E3" s="57" t="str">
        <f>Fikstür!F36</f>
        <v>VDK</v>
      </c>
      <c r="F3" s="23">
        <f>Fikstür!I36</f>
        <v>2</v>
      </c>
      <c r="G3" t="str">
        <f>Fikstür!J36</f>
        <v>17:00 - 18:00</v>
      </c>
    </row>
    <row r="4" spans="1:7">
      <c r="A4" s="23">
        <v>3</v>
      </c>
      <c r="B4" s="64" t="str">
        <f>Fikstür!C37</f>
        <v>ÇINAR</v>
      </c>
      <c r="C4" s="21"/>
      <c r="D4" s="21"/>
      <c r="E4" s="50" t="str">
        <f>Fikstür!F37</f>
        <v>DEFALP DİJİTAL</v>
      </c>
      <c r="F4" s="23">
        <f>Fikstür!I37</f>
        <v>3</v>
      </c>
      <c r="G4" t="str">
        <f>Fikstür!J37</f>
        <v>17:00 - 18:00</v>
      </c>
    </row>
    <row r="5" spans="1:7">
      <c r="A5" s="23">
        <v>4</v>
      </c>
      <c r="B5" s="58" t="str">
        <f>Fikstür!C38</f>
        <v>İŞKUR</v>
      </c>
      <c r="C5" s="21"/>
      <c r="D5" s="21"/>
      <c r="E5" s="55" t="str">
        <f>Fikstür!F38</f>
        <v>KARDEŞÇE</v>
      </c>
      <c r="F5" s="23">
        <f>Fikstür!I38</f>
        <v>2</v>
      </c>
      <c r="G5" t="str">
        <f>Fikstür!J38</f>
        <v>18:00 - 19:00</v>
      </c>
    </row>
    <row r="6" spans="1:7">
      <c r="A6" s="23">
        <v>5</v>
      </c>
      <c r="B6" s="61" t="str">
        <f>Fikstür!C39</f>
        <v>ALL STAR 2026</v>
      </c>
      <c r="C6" s="21"/>
      <c r="D6" s="21"/>
      <c r="E6" s="63" t="str">
        <f>Fikstür!F39</f>
        <v>FISTIKGÜCÜ</v>
      </c>
      <c r="F6" s="23">
        <f>Fikstür!I39</f>
        <v>1</v>
      </c>
      <c r="G6" t="str">
        <f>Fikstür!J39</f>
        <v>18:00 - 19:00</v>
      </c>
    </row>
    <row r="11" spans="1:7">
      <c r="A11" t="s">
        <v>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workbookViewId="0"/>
  </sheetViews>
  <sheetFormatPr defaultRowHeight="13.8"/>
  <cols>
    <col min="2" max="2" width="30" customWidth="1"/>
    <col min="4" max="4" width="25" customWidth="1"/>
  </cols>
  <sheetData>
    <row r="1" spans="1:4">
      <c r="A1" s="47" t="s">
        <v>32</v>
      </c>
      <c r="B1" s="47" t="s">
        <v>33</v>
      </c>
      <c r="C1" s="47" t="s">
        <v>41</v>
      </c>
      <c r="D1" s="47" t="s">
        <v>50</v>
      </c>
    </row>
    <row r="2" spans="1:4">
      <c r="A2" s="52">
        <v>1</v>
      </c>
      <c r="B2" s="52" t="str">
        <f>IF(COUNT(Fikstür!$D$2:$D$39)&lt;34,"",INDEX('Puan Durumu'!$B$2:$B$18,MATCH(LARGE('Puan Durumu'!$K$2:$K$18,A2),'Puan Durumu'!$K$2:$K$18,0)))</f>
        <v/>
      </c>
      <c r="C2" s="52" t="str">
        <f>IF(B2="","",INDEX('Puan Durumu'!$J$2:$J$18,MATCH(B2,'Puan Durumu'!$B$2:$B$18,0)))</f>
        <v/>
      </c>
      <c r="D2" s="52" t="str">
        <f t="shared" ref="D2:D18" si="0">IF(B2="","LİG TAMAMLANMADI",IF(A2&lt;=8,"ÇEYREK FİNAL","ELENDİ"))</f>
        <v>LİG TAMAMLANMADI</v>
      </c>
    </row>
    <row r="3" spans="1:4">
      <c r="A3" s="52">
        <v>2</v>
      </c>
      <c r="B3" s="52" t="str">
        <f>IF(COUNT(Fikstür!$D$2:$D$39)&lt;34,"",INDEX('Puan Durumu'!$B$2:$B$18,MATCH(LARGE('Puan Durumu'!$K$2:$K$18,A3),'Puan Durumu'!$K$2:$K$18,0)))</f>
        <v/>
      </c>
      <c r="C3" s="52" t="str">
        <f>IF(B3="","",INDEX('Puan Durumu'!$J$2:$J$18,MATCH(B3,'Puan Durumu'!$B$2:$B$18,0)))</f>
        <v/>
      </c>
      <c r="D3" s="52" t="str">
        <f t="shared" si="0"/>
        <v>LİG TAMAMLANMADI</v>
      </c>
    </row>
    <row r="4" spans="1:4">
      <c r="A4" s="52">
        <v>3</v>
      </c>
      <c r="B4" s="52" t="str">
        <f>IF(COUNT(Fikstür!$D$2:$D$39)&lt;34,"",INDEX('Puan Durumu'!$B$2:$B$18,MATCH(LARGE('Puan Durumu'!$K$2:$K$18,A4),'Puan Durumu'!$K$2:$K$18,0)))</f>
        <v/>
      </c>
      <c r="C4" s="52" t="str">
        <f>IF(B4="","",INDEX('Puan Durumu'!$J$2:$J$18,MATCH(B4,'Puan Durumu'!$B$2:$B$18,0)))</f>
        <v/>
      </c>
      <c r="D4" s="52" t="str">
        <f t="shared" si="0"/>
        <v>LİG TAMAMLANMADI</v>
      </c>
    </row>
    <row r="5" spans="1:4">
      <c r="A5" s="52">
        <v>4</v>
      </c>
      <c r="B5" s="52" t="str">
        <f>IF(COUNT(Fikstür!$D$2:$D$39)&lt;34,"",INDEX('Puan Durumu'!$B$2:$B$18,MATCH(LARGE('Puan Durumu'!$K$2:$K$18,A5),'Puan Durumu'!$K$2:$K$18,0)))</f>
        <v/>
      </c>
      <c r="C5" s="52" t="str">
        <f>IF(B5="","",INDEX('Puan Durumu'!$J$2:$J$18,MATCH(B5,'Puan Durumu'!$B$2:$B$18,0)))</f>
        <v/>
      </c>
      <c r="D5" s="52" t="str">
        <f t="shared" si="0"/>
        <v>LİG TAMAMLANMADI</v>
      </c>
    </row>
    <row r="6" spans="1:4">
      <c r="A6" s="52">
        <v>5</v>
      </c>
      <c r="B6" s="52" t="str">
        <f>IF(COUNT(Fikstür!$D$2:$D$39)&lt;34,"",INDEX('Puan Durumu'!$B$2:$B$18,MATCH(LARGE('Puan Durumu'!$K$2:$K$18,A6),'Puan Durumu'!$K$2:$K$18,0)))</f>
        <v/>
      </c>
      <c r="C6" s="52" t="str">
        <f>IF(B6="","",INDEX('Puan Durumu'!$J$2:$J$18,MATCH(B6,'Puan Durumu'!$B$2:$B$18,0)))</f>
        <v/>
      </c>
      <c r="D6" s="52" t="str">
        <f t="shared" si="0"/>
        <v>LİG TAMAMLANMADI</v>
      </c>
    </row>
    <row r="7" spans="1:4">
      <c r="A7" s="52">
        <v>6</v>
      </c>
      <c r="B7" s="52" t="str">
        <f>IF(COUNT(Fikstür!$D$2:$D$39)&lt;34,"",INDEX('Puan Durumu'!$B$2:$B$18,MATCH(LARGE('Puan Durumu'!$K$2:$K$18,A7),'Puan Durumu'!$K$2:$K$18,0)))</f>
        <v/>
      </c>
      <c r="C7" s="52" t="str">
        <f>IF(B7="","",INDEX('Puan Durumu'!$J$2:$J$18,MATCH(B7,'Puan Durumu'!$B$2:$B$18,0)))</f>
        <v/>
      </c>
      <c r="D7" s="52" t="str">
        <f t="shared" si="0"/>
        <v>LİG TAMAMLANMADI</v>
      </c>
    </row>
    <row r="8" spans="1:4">
      <c r="A8" s="52">
        <v>7</v>
      </c>
      <c r="B8" s="52" t="str">
        <f>IF(COUNT(Fikstür!$D$2:$D$39)&lt;34,"",INDEX('Puan Durumu'!$B$2:$B$18,MATCH(LARGE('Puan Durumu'!$K$2:$K$18,A8),'Puan Durumu'!$K$2:$K$18,0)))</f>
        <v/>
      </c>
      <c r="C8" s="52" t="str">
        <f>IF(B8="","",INDEX('Puan Durumu'!$J$2:$J$18,MATCH(B8,'Puan Durumu'!$B$2:$B$18,0)))</f>
        <v/>
      </c>
      <c r="D8" s="52" t="str">
        <f t="shared" si="0"/>
        <v>LİG TAMAMLANMADI</v>
      </c>
    </row>
    <row r="9" spans="1:4">
      <c r="A9" s="52">
        <v>8</v>
      </c>
      <c r="B9" s="52" t="str">
        <f>IF(COUNT(Fikstür!$D$2:$D$39)&lt;34,"",INDEX('Puan Durumu'!$B$2:$B$18,MATCH(LARGE('Puan Durumu'!$K$2:$K$18,A9),'Puan Durumu'!$K$2:$K$18,0)))</f>
        <v/>
      </c>
      <c r="C9" s="52" t="str">
        <f>IF(B9="","",INDEX('Puan Durumu'!$J$2:$J$18,MATCH(B9,'Puan Durumu'!$B$2:$B$18,0)))</f>
        <v/>
      </c>
      <c r="D9" s="52" t="str">
        <f t="shared" si="0"/>
        <v>LİG TAMAMLANMADI</v>
      </c>
    </row>
    <row r="10" spans="1:4">
      <c r="A10">
        <v>9</v>
      </c>
      <c r="B10" t="str">
        <f>IF(COUNT(Fikstür!$D$2:$D$39)&lt;34,"",INDEX('Puan Durumu'!$B$2:$B$18,MATCH(LARGE('Puan Durumu'!$K$2:$K$18,A10),'Puan Durumu'!$K$2:$K$18,0)))</f>
        <v/>
      </c>
      <c r="C10" t="str">
        <f>IF(B10="","",INDEX('Puan Durumu'!$J$2:$J$18,MATCH(B10,'Puan Durumu'!$B$2:$B$18,0)))</f>
        <v/>
      </c>
      <c r="D10" t="str">
        <f t="shared" si="0"/>
        <v>LİG TAMAMLANMADI</v>
      </c>
    </row>
    <row r="11" spans="1:4">
      <c r="A11">
        <v>10</v>
      </c>
      <c r="B11" t="str">
        <f>IF(COUNT(Fikstür!$D$2:$D$39)&lt;34,"",INDEX('Puan Durumu'!$B$2:$B$18,MATCH(LARGE('Puan Durumu'!$K$2:$K$18,A11),'Puan Durumu'!$K$2:$K$18,0)))</f>
        <v/>
      </c>
      <c r="C11" t="str">
        <f>IF(B11="","",INDEX('Puan Durumu'!$J$2:$J$18,MATCH(B11,'Puan Durumu'!$B$2:$B$18,0)))</f>
        <v/>
      </c>
      <c r="D11" t="str">
        <f t="shared" si="0"/>
        <v>LİG TAMAMLANMADI</v>
      </c>
    </row>
    <row r="12" spans="1:4">
      <c r="A12">
        <v>11</v>
      </c>
      <c r="B12" t="str">
        <f>IF(COUNT(Fikstür!$D$2:$D$39)&lt;34,"",INDEX('Puan Durumu'!$B$2:$B$18,MATCH(LARGE('Puan Durumu'!$K$2:$K$18,A12),'Puan Durumu'!$K$2:$K$18,0)))</f>
        <v/>
      </c>
      <c r="C12" t="str">
        <f>IF(B12="","",INDEX('Puan Durumu'!$J$2:$J$18,MATCH(B12,'Puan Durumu'!$B$2:$B$18,0)))</f>
        <v/>
      </c>
      <c r="D12" t="str">
        <f t="shared" si="0"/>
        <v>LİG TAMAMLANMADI</v>
      </c>
    </row>
    <row r="13" spans="1:4">
      <c r="A13">
        <v>12</v>
      </c>
      <c r="B13" t="str">
        <f>IF(COUNT(Fikstür!$D$2:$D$39)&lt;34,"",INDEX('Puan Durumu'!$B$2:$B$18,MATCH(LARGE('Puan Durumu'!$K$2:$K$18,A13),'Puan Durumu'!$K$2:$K$18,0)))</f>
        <v/>
      </c>
      <c r="C13" t="str">
        <f>IF(B13="","",INDEX('Puan Durumu'!$J$2:$J$18,MATCH(B13,'Puan Durumu'!$B$2:$B$18,0)))</f>
        <v/>
      </c>
      <c r="D13" t="str">
        <f t="shared" si="0"/>
        <v>LİG TAMAMLANMADI</v>
      </c>
    </row>
    <row r="14" spans="1:4">
      <c r="A14">
        <v>13</v>
      </c>
      <c r="B14" t="str">
        <f>IF(COUNT(Fikstür!$D$2:$D$39)&lt;34,"",INDEX('Puan Durumu'!$B$2:$B$18,MATCH(LARGE('Puan Durumu'!$K$2:$K$18,A14),'Puan Durumu'!$K$2:$K$18,0)))</f>
        <v/>
      </c>
      <c r="C14" t="str">
        <f>IF(B14="","",INDEX('Puan Durumu'!$J$2:$J$18,MATCH(B14,'Puan Durumu'!$B$2:$B$18,0)))</f>
        <v/>
      </c>
      <c r="D14" t="str">
        <f t="shared" si="0"/>
        <v>LİG TAMAMLANMADI</v>
      </c>
    </row>
    <row r="15" spans="1:4">
      <c r="A15">
        <v>14</v>
      </c>
      <c r="B15" t="str">
        <f>IF(COUNT(Fikstür!$D$2:$D$39)&lt;34,"",INDEX('Puan Durumu'!$B$2:$B$18,MATCH(LARGE('Puan Durumu'!$K$2:$K$18,A15),'Puan Durumu'!$K$2:$K$18,0)))</f>
        <v/>
      </c>
      <c r="C15" t="str">
        <f>IF(B15="","",INDEX('Puan Durumu'!$J$2:$J$18,MATCH(B15,'Puan Durumu'!$B$2:$B$18,0)))</f>
        <v/>
      </c>
      <c r="D15" t="str">
        <f t="shared" si="0"/>
        <v>LİG TAMAMLANMADI</v>
      </c>
    </row>
    <row r="16" spans="1:4">
      <c r="A16">
        <v>15</v>
      </c>
      <c r="B16" t="str">
        <f>IF(COUNT(Fikstür!$D$2:$D$39)&lt;34,"",INDEX('Puan Durumu'!$B$2:$B$18,MATCH(LARGE('Puan Durumu'!$K$2:$K$18,A16),'Puan Durumu'!$K$2:$K$18,0)))</f>
        <v/>
      </c>
      <c r="C16" t="str">
        <f>IF(B16="","",INDEX('Puan Durumu'!$J$2:$J$18,MATCH(B16,'Puan Durumu'!$B$2:$B$18,0)))</f>
        <v/>
      </c>
      <c r="D16" t="str">
        <f t="shared" si="0"/>
        <v>LİG TAMAMLANMADI</v>
      </c>
    </row>
    <row r="17" spans="1:4">
      <c r="A17">
        <v>16</v>
      </c>
      <c r="B17" t="str">
        <f>IF(COUNT(Fikstür!$D$2:$D$39)&lt;34,"",INDEX('Puan Durumu'!$B$2:$B$18,MATCH(LARGE('Puan Durumu'!$K$2:$K$18,A17),'Puan Durumu'!$K$2:$K$18,0)))</f>
        <v/>
      </c>
      <c r="C17" t="str">
        <f>IF(B17="","",INDEX('Puan Durumu'!$J$2:$J$18,MATCH(B17,'Puan Durumu'!$B$2:$B$18,0)))</f>
        <v/>
      </c>
      <c r="D17" t="str">
        <f t="shared" si="0"/>
        <v>LİG TAMAMLANMADI</v>
      </c>
    </row>
    <row r="18" spans="1:4">
      <c r="A18">
        <v>17</v>
      </c>
      <c r="B18" t="str">
        <f>IF(COUNT(Fikstür!$D$2:$D$39)&lt;34,"",INDEX('Puan Durumu'!$B$2:$B$18,MATCH(LARGE('Puan Durumu'!$K$2:$K$18,A18),'Puan Durumu'!$K$2:$K$18,0)))</f>
        <v/>
      </c>
      <c r="C18" t="str">
        <f>IF(B18="","",INDEX('Puan Durumu'!$J$2:$J$18,MATCH(B18,'Puan Durumu'!$B$2:$B$18,0)))</f>
        <v/>
      </c>
      <c r="D18" t="str">
        <f t="shared" si="0"/>
        <v>LİG TAMAMLANMADI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2"/>
  <sheetViews>
    <sheetView workbookViewId="0">
      <pane ySplit="1" topLeftCell="A2" activePane="bottomLeft" state="frozen"/>
      <selection pane="bottomLeft"/>
    </sheetView>
  </sheetViews>
  <sheetFormatPr defaultRowHeight="13.8"/>
  <cols>
    <col min="1" max="1" width="12.796875" customWidth="1"/>
    <col min="2" max="2" width="19.19921875" customWidth="1"/>
    <col min="3" max="4" width="8.19921875" customWidth="1"/>
    <col min="5" max="7" width="19.19921875" customWidth="1"/>
    <col min="8" max="8" width="12.296875" style="73" customWidth="1"/>
    <col min="9" max="9" width="13.8984375" customWidth="1"/>
    <col min="10" max="10" width="38" customWidth="1"/>
  </cols>
  <sheetData>
    <row r="1" spans="1:10" s="23" customFormat="1" ht="44.4" customHeight="1">
      <c r="A1" s="70" t="s">
        <v>51</v>
      </c>
      <c r="B1" s="70" t="s">
        <v>52</v>
      </c>
      <c r="C1" s="70" t="s">
        <v>53</v>
      </c>
      <c r="D1" s="70" t="s">
        <v>53</v>
      </c>
      <c r="E1" s="70" t="s">
        <v>54</v>
      </c>
      <c r="F1" s="71" t="s">
        <v>55</v>
      </c>
      <c r="G1" s="70" t="s">
        <v>56</v>
      </c>
      <c r="H1" s="72" t="s">
        <v>57</v>
      </c>
      <c r="I1" s="71" t="s">
        <v>58</v>
      </c>
      <c r="J1" s="70" t="s">
        <v>59</v>
      </c>
    </row>
    <row r="2" spans="1:10">
      <c r="A2" t="s">
        <v>60</v>
      </c>
      <c r="B2" t="str">
        <f>'İlk 8 Sıralama'!B2</f>
        <v/>
      </c>
      <c r="C2" s="51"/>
      <c r="D2" s="51"/>
      <c r="E2" t="str">
        <f>'İlk 8 Sıralama'!B9</f>
        <v/>
      </c>
      <c r="F2" s="48"/>
      <c r="G2" t="str">
        <f>IF(OR(B2="",E2="",NOT(ISNUMBER(C2)),NOT(ISNUMBER(D2))),"",IF(C2&gt;D2,B2,IF(D2&gt;C2,E2,IF(OR(F2=B2,F2=E2),F2,""))))</f>
        <v/>
      </c>
      <c r="H2" s="73">
        <v>46347</v>
      </c>
      <c r="I2" t="s">
        <v>61</v>
      </c>
      <c r="J2" t="s">
        <v>62</v>
      </c>
    </row>
    <row r="3" spans="1:10">
      <c r="A3" t="s">
        <v>63</v>
      </c>
      <c r="B3" t="str">
        <f>'İlk 8 Sıralama'!B5</f>
        <v/>
      </c>
      <c r="C3" s="51"/>
      <c r="D3" s="51"/>
      <c r="E3" t="str">
        <f>'İlk 8 Sıralama'!B6</f>
        <v/>
      </c>
      <c r="F3" s="48"/>
      <c r="G3" t="str">
        <f>IF(OR(B3="",E3="",NOT(ISNUMBER(C3)),NOT(ISNUMBER(D3))),"",IF(C3&gt;D3,B3,IF(D3&gt;C3,E3,IF(OR(F3=B3,F3=E3),F3,""))))</f>
        <v/>
      </c>
      <c r="H3" s="73">
        <v>46347</v>
      </c>
      <c r="I3" t="s">
        <v>64</v>
      </c>
      <c r="J3" t="s">
        <v>65</v>
      </c>
    </row>
    <row r="4" spans="1:10">
      <c r="A4" t="s">
        <v>66</v>
      </c>
      <c r="B4" t="str">
        <f>'İlk 8 Sıralama'!B3</f>
        <v/>
      </c>
      <c r="C4" s="51"/>
      <c r="D4" s="51"/>
      <c r="E4" t="str">
        <f>'İlk 8 Sıralama'!B8</f>
        <v/>
      </c>
      <c r="F4" s="48"/>
      <c r="G4" t="str">
        <f>IF(OR(B4="",E4="",NOT(ISNUMBER(C4)),NOT(ISNUMBER(D4))),"",IF(C4&gt;D4,B4,IF(D4&gt;C4,E4,IF(OR(F4=B4,F4=E4),F4,""))))</f>
        <v/>
      </c>
      <c r="H4" s="73">
        <v>46347</v>
      </c>
      <c r="I4" t="s">
        <v>67</v>
      </c>
      <c r="J4" t="s">
        <v>68</v>
      </c>
    </row>
    <row r="5" spans="1:10">
      <c r="A5" t="s">
        <v>69</v>
      </c>
      <c r="B5" t="str">
        <f>'İlk 8 Sıralama'!B4</f>
        <v/>
      </c>
      <c r="C5" s="51"/>
      <c r="D5" s="51"/>
      <c r="E5" t="str">
        <f>'İlk 8 Sıralama'!B7</f>
        <v/>
      </c>
      <c r="F5" s="48"/>
      <c r="G5" t="str">
        <f>IF(OR(B5="",E5="",NOT(ISNUMBER(C5)),NOT(ISNUMBER(D5))),"",IF(C5&gt;D5,B5,IF(D5&gt;C5,E5,IF(OR(F5=B5,F5=E5),F5,""))))</f>
        <v/>
      </c>
      <c r="H5" s="73">
        <v>46347</v>
      </c>
      <c r="I5" t="s">
        <v>70</v>
      </c>
      <c r="J5" t="s">
        <v>71</v>
      </c>
    </row>
    <row r="7" spans="1:10">
      <c r="A7" s="65"/>
      <c r="B7" s="65"/>
      <c r="C7" s="65"/>
      <c r="D7" s="65"/>
      <c r="E7" s="65"/>
      <c r="F7" s="65"/>
      <c r="G7" s="65"/>
      <c r="H7" s="74"/>
      <c r="I7" s="65"/>
      <c r="J7" s="65"/>
    </row>
    <row r="8" spans="1:10">
      <c r="A8" t="s">
        <v>72</v>
      </c>
      <c r="B8" t="str">
        <f>IF(G2="","",G2)</f>
        <v/>
      </c>
      <c r="C8" s="51"/>
      <c r="D8" s="51"/>
      <c r="E8" t="str">
        <f>IF(G3="","",G3)</f>
        <v/>
      </c>
      <c r="F8" s="48"/>
      <c r="G8" t="str">
        <f>IF(OR(B8="",E8="",NOT(ISNUMBER(C8)),NOT(ISNUMBER(D8))),"",IF(C8&gt;D8,B8,IF(D8&gt;C8,E8,IF(OR(F8=B8,F8=E8),F8,""))))</f>
        <v/>
      </c>
      <c r="H8" s="73">
        <v>46354</v>
      </c>
      <c r="I8" t="s">
        <v>61</v>
      </c>
      <c r="J8" t="s">
        <v>73</v>
      </c>
    </row>
    <row r="9" spans="1:10">
      <c r="A9" t="s">
        <v>74</v>
      </c>
      <c r="B9" t="str">
        <f>IF(G4="","",G4)</f>
        <v/>
      </c>
      <c r="C9" s="51"/>
      <c r="D9" s="51"/>
      <c r="E9" t="str">
        <f>IF(G5="","",G5)</f>
        <v/>
      </c>
      <c r="F9" s="48"/>
      <c r="G9" t="str">
        <f>IF(OR(B9="",E9="",NOT(ISNUMBER(C9)),NOT(ISNUMBER(D9))),"",IF(C9&gt;D9,B9,IF(D9&gt;C9,E9,IF(OR(F9=B9,F9=E9),F9,""))))</f>
        <v/>
      </c>
      <c r="H9" s="73">
        <v>46354</v>
      </c>
      <c r="I9" t="s">
        <v>64</v>
      </c>
      <c r="J9" t="s">
        <v>75</v>
      </c>
    </row>
    <row r="11" spans="1:10">
      <c r="A11" s="65"/>
      <c r="B11" s="65"/>
      <c r="C11" s="65"/>
      <c r="D11" s="65"/>
      <c r="E11" s="65"/>
      <c r="F11" s="65"/>
      <c r="G11" s="65"/>
      <c r="H11" s="74"/>
      <c r="I11" s="65"/>
      <c r="J11" s="65"/>
    </row>
    <row r="12" spans="1:10">
      <c r="A12" t="s">
        <v>76</v>
      </c>
      <c r="B12" t="str">
        <f>IF(G8="","",IF(G8=B8,E8,B8))</f>
        <v/>
      </c>
      <c r="C12" s="51"/>
      <c r="D12" s="51"/>
      <c r="E12" t="str">
        <f>IF(G9="","",IF(G9=B9,E9,B9))</f>
        <v/>
      </c>
      <c r="F12" s="48"/>
      <c r="G12" t="str">
        <f>IF(OR(B12="",E12="",NOT(ISNUMBER(C12)),NOT(ISNUMBER(D12))),"",IF(C12&gt;D12,B12,IF(D12&gt;C12,E12,IF(OR(F12=B12,F12=E12),F12,""))))</f>
        <v/>
      </c>
      <c r="H12" s="73">
        <v>46361</v>
      </c>
      <c r="I12" t="s">
        <v>64</v>
      </c>
      <c r="J12" t="s">
        <v>77</v>
      </c>
    </row>
    <row r="14" spans="1:10">
      <c r="A14" s="65"/>
      <c r="B14" s="65"/>
      <c r="C14" s="65"/>
      <c r="D14" s="65"/>
      <c r="E14" s="65"/>
      <c r="F14" s="65"/>
      <c r="G14" s="65"/>
      <c r="H14" s="74"/>
      <c r="I14" s="65"/>
      <c r="J14" s="65"/>
    </row>
    <row r="15" spans="1:10">
      <c r="A15" t="s">
        <v>78</v>
      </c>
      <c r="B15" t="str">
        <f>IF(G8="","",G8)</f>
        <v/>
      </c>
      <c r="C15" s="51"/>
      <c r="D15" s="51"/>
      <c r="E15" t="str">
        <f>IF(G9="","",G9)</f>
        <v/>
      </c>
      <c r="F15" s="48"/>
      <c r="G15" t="str">
        <f>IF(OR(B15="",E15="",NOT(ISNUMBER(C15)),NOT(ISNUMBER(D15))),"",IF(C15&gt;D15,B15,IF(D15&gt;C15,E15,IF(OR(F15=B15,F15=E15),F15,""))))</f>
        <v/>
      </c>
      <c r="H15" s="73">
        <v>46361</v>
      </c>
      <c r="I15" t="s">
        <v>61</v>
      </c>
      <c r="J15" t="s">
        <v>79</v>
      </c>
    </row>
    <row r="16" spans="1:10">
      <c r="H16" s="73">
        <v>46361</v>
      </c>
      <c r="I16" t="s">
        <v>67</v>
      </c>
      <c r="J16" t="s">
        <v>80</v>
      </c>
    </row>
    <row r="18" spans="1:2">
      <c r="A18" s="63" t="s">
        <v>81</v>
      </c>
      <c r="B18" s="63" t="str">
        <f>IF(G15="","",G15)</f>
        <v/>
      </c>
    </row>
    <row r="19" spans="1:2">
      <c r="A19" s="63" t="s">
        <v>82</v>
      </c>
      <c r="B19" s="63" t="str">
        <f>IF(G12="","",G12)</f>
        <v/>
      </c>
    </row>
    <row r="21" spans="1:2">
      <c r="A21" t="s">
        <v>83</v>
      </c>
    </row>
    <row r="22" spans="1:2">
      <c r="A22" t="s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4"/>
  <sheetViews>
    <sheetView zoomScale="60" zoomScaleNormal="60" workbookViewId="0">
      <pane ySplit="1" topLeftCell="A2" activePane="bottomLeft" state="frozen"/>
      <selection pane="bottomLeft" activeCell="V18" sqref="V18"/>
    </sheetView>
  </sheetViews>
  <sheetFormatPr defaultRowHeight="13.8"/>
  <cols>
    <col min="1" max="1" width="29" customWidth="1"/>
    <col min="2" max="2" width="94" customWidth="1"/>
  </cols>
  <sheetData>
    <row r="1" spans="1:2" ht="31.95" customHeight="1">
      <c r="A1" s="66" t="s">
        <v>85</v>
      </c>
      <c r="B1" s="66" t="s">
        <v>86</v>
      </c>
    </row>
    <row r="2" spans="1:2" ht="28.05" customHeight="1">
      <c r="A2" s="67" t="s">
        <v>87</v>
      </c>
      <c r="B2" s="69">
        <v>17</v>
      </c>
    </row>
    <row r="3" spans="1:2" ht="28.05" customHeight="1">
      <c r="A3" s="67" t="s">
        <v>88</v>
      </c>
      <c r="B3" s="69">
        <v>5</v>
      </c>
    </row>
    <row r="4" spans="1:2" ht="28.05" customHeight="1">
      <c r="A4" s="67" t="s">
        <v>89</v>
      </c>
      <c r="B4" s="69">
        <v>4</v>
      </c>
    </row>
    <row r="5" spans="1:2" ht="28.05" customHeight="1">
      <c r="A5" s="67" t="s">
        <v>90</v>
      </c>
      <c r="B5" s="69">
        <v>8</v>
      </c>
    </row>
    <row r="6" spans="1:2" ht="28.05" customHeight="1">
      <c r="A6" s="67" t="s">
        <v>91</v>
      </c>
      <c r="B6" s="69">
        <v>8</v>
      </c>
    </row>
    <row r="7" spans="1:2" ht="28.05" customHeight="1">
      <c r="A7" s="67" t="s">
        <v>92</v>
      </c>
      <c r="B7" s="69">
        <v>7</v>
      </c>
    </row>
    <row r="8" spans="1:2" ht="28.05" customHeight="1">
      <c r="A8" s="67" t="s">
        <v>93</v>
      </c>
      <c r="B8" s="69">
        <v>6</v>
      </c>
    </row>
    <row r="9" spans="1:2" ht="28.05" customHeight="1">
      <c r="A9" s="67" t="s">
        <v>94</v>
      </c>
      <c r="B9" s="69">
        <v>5</v>
      </c>
    </row>
    <row r="10" spans="1:2" ht="28.05" customHeight="1">
      <c r="A10" s="67" t="s">
        <v>95</v>
      </c>
      <c r="B10" s="69">
        <v>34</v>
      </c>
    </row>
    <row r="11" spans="1:2" ht="28.05" customHeight="1">
      <c r="A11" s="67" t="s">
        <v>96</v>
      </c>
      <c r="B11" s="68" t="s">
        <v>97</v>
      </c>
    </row>
    <row r="12" spans="1:2" ht="28.05" customHeight="1">
      <c r="A12" s="67" t="s">
        <v>98</v>
      </c>
      <c r="B12" s="68" t="s">
        <v>99</v>
      </c>
    </row>
    <row r="13" spans="1:2" ht="28.05" customHeight="1">
      <c r="A13" s="67" t="s">
        <v>100</v>
      </c>
      <c r="B13" s="68" t="s">
        <v>101</v>
      </c>
    </row>
    <row r="14" spans="1:2" ht="28.05" customHeight="1">
      <c r="A14" s="67" t="s">
        <v>102</v>
      </c>
      <c r="B14" s="68" t="s">
        <v>103</v>
      </c>
    </row>
    <row r="15" spans="1:2" ht="28.05" customHeight="1">
      <c r="A15" s="67" t="s">
        <v>104</v>
      </c>
      <c r="B15" s="68" t="s">
        <v>105</v>
      </c>
    </row>
    <row r="16" spans="1:2" ht="28.05" customHeight="1">
      <c r="A16" s="67" t="s">
        <v>106</v>
      </c>
      <c r="B16" s="68" t="s">
        <v>107</v>
      </c>
    </row>
    <row r="17" spans="1:2" ht="28.05" customHeight="1">
      <c r="A17" s="67" t="s">
        <v>108</v>
      </c>
      <c r="B17" s="68" t="s">
        <v>109</v>
      </c>
    </row>
    <row r="18" spans="1:2" ht="28.05" customHeight="1">
      <c r="A18" s="67" t="s">
        <v>110</v>
      </c>
      <c r="B18" s="68" t="s">
        <v>111</v>
      </c>
    </row>
    <row r="19" spans="1:2" ht="28.05" customHeight="1">
      <c r="A19" s="67" t="s">
        <v>112</v>
      </c>
      <c r="B19" s="69">
        <v>8</v>
      </c>
    </row>
    <row r="20" spans="1:2" ht="28.05" customHeight="1">
      <c r="A20" s="67" t="s">
        <v>113</v>
      </c>
      <c r="B20" s="69">
        <v>42</v>
      </c>
    </row>
    <row r="21" spans="1:2" ht="28.05" customHeight="1">
      <c r="A21" s="67" t="s">
        <v>114</v>
      </c>
      <c r="B21" s="68" t="s">
        <v>115</v>
      </c>
    </row>
    <row r="22" spans="1:2" ht="28.05" customHeight="1">
      <c r="A22" s="67" t="s">
        <v>116</v>
      </c>
      <c r="B22" s="68" t="s">
        <v>117</v>
      </c>
    </row>
    <row r="23" spans="1:2" ht="28.05" customHeight="1">
      <c r="A23" s="67" t="s">
        <v>118</v>
      </c>
      <c r="B23" s="68" t="s">
        <v>119</v>
      </c>
    </row>
    <row r="24" spans="1:2" ht="28.05" customHeight="1">
      <c r="A24" s="67" t="s">
        <v>120</v>
      </c>
      <c r="B24" s="68" t="s">
        <v>121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F365-EBBD-449F-A3BD-73333C87B871}">
  <dimension ref="A1:F19"/>
  <sheetViews>
    <sheetView zoomScale="85" zoomScaleNormal="85" workbookViewId="0">
      <selection activeCell="J12" sqref="J12"/>
    </sheetView>
  </sheetViews>
  <sheetFormatPr defaultRowHeight="13.8"/>
  <cols>
    <col min="1" max="1" width="8" style="21" customWidth="1"/>
    <col min="2" max="6" width="25" customWidth="1"/>
  </cols>
  <sheetData>
    <row r="1" spans="1:6" ht="21.6" customHeight="1">
      <c r="A1" s="111" t="s">
        <v>123</v>
      </c>
      <c r="B1" s="111"/>
      <c r="C1" s="111"/>
      <c r="D1" s="111"/>
      <c r="E1" s="111"/>
      <c r="F1" s="111"/>
    </row>
    <row r="2" spans="1:6" s="23" customFormat="1" ht="21.6" customHeight="1">
      <c r="A2" s="76" t="s">
        <v>0</v>
      </c>
      <c r="B2" s="76" t="s">
        <v>33</v>
      </c>
      <c r="C2" s="76" t="s">
        <v>124</v>
      </c>
      <c r="D2" s="76" t="s">
        <v>125</v>
      </c>
      <c r="E2" s="76" t="s">
        <v>126</v>
      </c>
      <c r="F2" s="76" t="s">
        <v>127</v>
      </c>
    </row>
    <row r="3" spans="1:6" ht="21.6" customHeight="1">
      <c r="A3" s="77">
        <v>1</v>
      </c>
      <c r="B3" s="78" t="s">
        <v>2</v>
      </c>
      <c r="C3" s="78" t="s">
        <v>7</v>
      </c>
      <c r="D3" s="78" t="s">
        <v>13</v>
      </c>
      <c r="E3" s="78" t="s">
        <v>5</v>
      </c>
      <c r="F3" s="78" t="s">
        <v>6</v>
      </c>
    </row>
    <row r="4" spans="1:6" ht="21.6" customHeight="1">
      <c r="A4" s="79">
        <v>2</v>
      </c>
      <c r="B4" s="80" t="s">
        <v>3</v>
      </c>
      <c r="C4" s="80" t="s">
        <v>16</v>
      </c>
      <c r="D4" s="80" t="s">
        <v>9</v>
      </c>
      <c r="E4" s="80" t="s">
        <v>11</v>
      </c>
      <c r="F4" s="80" t="s">
        <v>14</v>
      </c>
    </row>
    <row r="5" spans="1:6" ht="21.6" customHeight="1">
      <c r="A5" s="81">
        <v>3</v>
      </c>
      <c r="B5" s="82" t="s">
        <v>4</v>
      </c>
      <c r="C5" s="82" t="s">
        <v>5</v>
      </c>
      <c r="D5" s="82" t="s">
        <v>16</v>
      </c>
      <c r="E5" s="82" t="s">
        <v>128</v>
      </c>
      <c r="F5" s="82" t="s">
        <v>13</v>
      </c>
    </row>
    <row r="6" spans="1:6" ht="21.6" customHeight="1">
      <c r="A6" s="83">
        <v>4</v>
      </c>
      <c r="B6" s="84" t="s">
        <v>5</v>
      </c>
      <c r="C6" s="84" t="s">
        <v>13</v>
      </c>
      <c r="D6" s="84" t="s">
        <v>4</v>
      </c>
      <c r="E6" s="84" t="s">
        <v>2</v>
      </c>
      <c r="F6" s="84" t="s">
        <v>6</v>
      </c>
    </row>
    <row r="7" spans="1:6" ht="21.6" customHeight="1">
      <c r="A7" s="85">
        <v>5</v>
      </c>
      <c r="B7" s="86" t="s">
        <v>6</v>
      </c>
      <c r="C7" s="86" t="s">
        <v>10</v>
      </c>
      <c r="D7" s="86" t="s">
        <v>7</v>
      </c>
      <c r="E7" s="86" t="s">
        <v>2</v>
      </c>
      <c r="F7" s="86" t="s">
        <v>5</v>
      </c>
    </row>
    <row r="8" spans="1:6" ht="21.6" customHeight="1">
      <c r="A8" s="87">
        <v>6</v>
      </c>
      <c r="B8" s="88" t="s">
        <v>7</v>
      </c>
      <c r="C8" s="88" t="s">
        <v>2</v>
      </c>
      <c r="D8" s="88" t="s">
        <v>12</v>
      </c>
      <c r="E8" s="88" t="s">
        <v>6</v>
      </c>
      <c r="F8" s="88" t="s">
        <v>10</v>
      </c>
    </row>
    <row r="9" spans="1:6" ht="21.6" customHeight="1">
      <c r="A9" s="89">
        <v>7</v>
      </c>
      <c r="B9" s="90" t="s">
        <v>128</v>
      </c>
      <c r="C9" s="90" t="s">
        <v>14</v>
      </c>
      <c r="D9" s="90" t="s">
        <v>16</v>
      </c>
      <c r="E9" s="90" t="s">
        <v>13</v>
      </c>
      <c r="F9" s="90" t="s">
        <v>4</v>
      </c>
    </row>
    <row r="10" spans="1:6" ht="21.6" customHeight="1">
      <c r="A10" s="91">
        <v>8</v>
      </c>
      <c r="B10" s="92" t="s">
        <v>9</v>
      </c>
      <c r="C10" s="92" t="s">
        <v>11</v>
      </c>
      <c r="D10" s="92" t="s">
        <v>3</v>
      </c>
      <c r="E10" s="92" t="s">
        <v>15</v>
      </c>
      <c r="F10" s="92" t="s">
        <v>18</v>
      </c>
    </row>
    <row r="11" spans="1:6" ht="21.6" customHeight="1">
      <c r="A11" s="93">
        <v>9</v>
      </c>
      <c r="B11" s="94" t="s">
        <v>10</v>
      </c>
      <c r="C11" s="94" t="s">
        <v>6</v>
      </c>
      <c r="D11" s="94" t="s">
        <v>17</v>
      </c>
      <c r="E11" s="94" t="s">
        <v>7</v>
      </c>
      <c r="F11" s="94" t="s">
        <v>12</v>
      </c>
    </row>
    <row r="12" spans="1:6" ht="21.6" customHeight="1">
      <c r="A12" s="95">
        <v>10</v>
      </c>
      <c r="B12" s="96" t="s">
        <v>11</v>
      </c>
      <c r="C12" s="96" t="s">
        <v>9</v>
      </c>
      <c r="D12" s="96" t="s">
        <v>14</v>
      </c>
      <c r="E12" s="96" t="s">
        <v>3</v>
      </c>
      <c r="F12" s="96" t="s">
        <v>18</v>
      </c>
    </row>
    <row r="13" spans="1:6" ht="21.6" customHeight="1">
      <c r="A13" s="97">
        <v>11</v>
      </c>
      <c r="B13" s="98" t="s">
        <v>12</v>
      </c>
      <c r="C13" s="98" t="s">
        <v>15</v>
      </c>
      <c r="D13" s="98" t="s">
        <v>7</v>
      </c>
      <c r="E13" s="98" t="s">
        <v>17</v>
      </c>
      <c r="F13" s="98" t="s">
        <v>10</v>
      </c>
    </row>
    <row r="14" spans="1:6" ht="21.6" customHeight="1">
      <c r="A14" s="99">
        <v>12</v>
      </c>
      <c r="B14" s="100" t="s">
        <v>13</v>
      </c>
      <c r="C14" s="100" t="s">
        <v>5</v>
      </c>
      <c r="D14" s="100" t="s">
        <v>2</v>
      </c>
      <c r="E14" s="100" t="s">
        <v>128</v>
      </c>
      <c r="F14" s="100" t="s">
        <v>4</v>
      </c>
    </row>
    <row r="15" spans="1:6" ht="21.6" customHeight="1">
      <c r="A15" s="101">
        <v>13</v>
      </c>
      <c r="B15" s="102" t="s">
        <v>14</v>
      </c>
      <c r="C15" s="102" t="s">
        <v>128</v>
      </c>
      <c r="D15" s="102" t="s">
        <v>11</v>
      </c>
      <c r="E15" s="102" t="s">
        <v>3</v>
      </c>
      <c r="F15" s="102" t="s">
        <v>16</v>
      </c>
    </row>
    <row r="16" spans="1:6" ht="21.6" customHeight="1">
      <c r="A16" s="103">
        <v>14</v>
      </c>
      <c r="B16" s="104" t="s">
        <v>15</v>
      </c>
      <c r="C16" s="104" t="s">
        <v>12</v>
      </c>
      <c r="D16" s="104" t="s">
        <v>18</v>
      </c>
      <c r="E16" s="104" t="s">
        <v>9</v>
      </c>
      <c r="F16" s="104" t="s">
        <v>17</v>
      </c>
    </row>
    <row r="17" spans="1:6" ht="21.6" customHeight="1">
      <c r="A17" s="105">
        <v>15</v>
      </c>
      <c r="B17" s="106" t="s">
        <v>16</v>
      </c>
      <c r="C17" s="106" t="s">
        <v>3</v>
      </c>
      <c r="D17" s="106" t="s">
        <v>128</v>
      </c>
      <c r="E17" s="106" t="s">
        <v>4</v>
      </c>
      <c r="F17" s="106" t="s">
        <v>14</v>
      </c>
    </row>
    <row r="18" spans="1:6" ht="21.6" customHeight="1">
      <c r="A18" s="107">
        <v>16</v>
      </c>
      <c r="B18" s="108" t="s">
        <v>17</v>
      </c>
      <c r="C18" s="108" t="s">
        <v>18</v>
      </c>
      <c r="D18" s="108" t="s">
        <v>10</v>
      </c>
      <c r="E18" s="108" t="s">
        <v>12</v>
      </c>
      <c r="F18" s="108" t="s">
        <v>15</v>
      </c>
    </row>
    <row r="19" spans="1:6" ht="21.6" customHeight="1">
      <c r="A19" s="109">
        <v>17</v>
      </c>
      <c r="B19" s="110" t="s">
        <v>18</v>
      </c>
      <c r="C19" s="110" t="s">
        <v>17</v>
      </c>
      <c r="D19" s="110" t="s">
        <v>15</v>
      </c>
      <c r="E19" s="110" t="s">
        <v>11</v>
      </c>
      <c r="F19" s="110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Takımlar</vt:lpstr>
      <vt:lpstr>Fikstür</vt:lpstr>
      <vt:lpstr>Puan Durumu</vt:lpstr>
      <vt:lpstr>1. Hafta</vt:lpstr>
      <vt:lpstr>2. Hafta</vt:lpstr>
      <vt:lpstr>3. Hafta</vt:lpstr>
      <vt:lpstr>4. Hafta</vt:lpstr>
      <vt:lpstr>5. Hafta</vt:lpstr>
      <vt:lpstr>İlk 8 Sıralama</vt:lpstr>
      <vt:lpstr>Eleme Turları</vt:lpstr>
      <vt:lpstr>Turnuva Kuralları</vt:lpstr>
      <vt:lpstr>Takım Rakipleri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TARIK MAMATOĞLU</cp:lastModifiedBy>
  <dcterms:modified xsi:type="dcterms:W3CDTF">2026-10-16T08:18:15Z</dcterms:modified>
</cp:coreProperties>
</file>